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Windows\Downloads\CENTRO ESPORTIVO\"/>
    </mc:Choice>
  </mc:AlternateContent>
  <xr:revisionPtr revIDLastSave="0" documentId="13_ncr:1_{06231782-D949-41B8-B5AC-89CAF1C2708F}" xr6:coauthVersionLast="36" xr6:coauthVersionMax="47" xr10:uidLastSave="{00000000-0000-0000-0000-000000000000}"/>
  <bookViews>
    <workbookView xWindow="0" yWindow="0" windowWidth="21570" windowHeight="7980" xr2:uid="{2E6F9EBE-E2CF-4911-B681-FFE3CDEA01BF}"/>
  </bookViews>
  <sheets>
    <sheet name="BM" sheetId="1" r:id="rId1"/>
    <sheet name="CFF-BM" sheetId="2" r:id="rId2"/>
  </sheets>
  <definedNames>
    <definedName name="ACOMPANHAMENTO" hidden="1">#REF!</definedName>
    <definedName name="AdmLocal" hidden="1">#REF!</definedName>
    <definedName name="AUTOEVENTO" hidden="1">#REF!</definedName>
    <definedName name="BDI.Opcao" hidden="1">#REF!</definedName>
    <definedName name="BDI.TipoObra" hidden="1">#REF!</definedName>
    <definedName name="BDI_1.Título" hidden="1">#REF!</definedName>
    <definedName name="BDI_2.Título" hidden="1">#REF!</definedName>
    <definedName name="BDI_3.Título" hidden="1">#REF!</definedName>
    <definedName name="BM.AFAcumulado" hidden="1">#REF!</definedName>
    <definedName name="BM.AFAnterior" hidden="1">#REF!</definedName>
    <definedName name="BM.MaxMed" hidden="1">IF(RegimeExecucao="Global",1,#REF!)</definedName>
    <definedName name="BM.MEDAcumulado" hidden="1">IF(COUNTIF(#REF!,BM.medicao)&gt;0,SUM(OFFSET(#REF!,0,0,1,MATCH(BM.medicao,#REF!,0))),0)</definedName>
    <definedName name="BM.MEDAnterior" hidden="1">IF(COUNTIF(#REF!,BM.medicao-1)&gt;0,SUM(OFFSET(#REF!,0,0,1,MATCH(BM.medicao-1,#REF!,0))),0)</definedName>
    <definedName name="BM.medicao" hidden="1">OFFSET(#REF!,1,0)</definedName>
    <definedName name="BM.MinMed" hidden="1">IF(RegimeExecucao="Global",-1,-#REF!)</definedName>
    <definedName name="CAIXA.Modo" hidden="1">#REF!</definedName>
    <definedName name="CÁLCULO.FrentesPreenchidas" hidden="1">#REF!</definedName>
    <definedName name="CÁLCULO.NúmeroDeEventos" hidden="1">IF(AUTOEVENTO&lt;&gt;"manual",MAX(#REF!),MAX(OFFSET(#REF!,1,0)))</definedName>
    <definedName name="CÁLCULO.NúmeroDeFrentes" hidden="1">COLUMN(#REF!)-COLUMN(#REF!)</definedName>
    <definedName name="CÁLCULO.TotalAdmLocal" hidden="1">IF(AUTOEVENTO="manual",SUMIF(#REF!,1,#REF!),0)</definedName>
    <definedName name="CRONO.LinhasNecessarias" hidden="1">COUNTIF(#REF!,"Manual")+COUNTIF(#REF!,"SemiAuto")+COUNT(ORÇAMENTO.ListaCrono)</definedName>
    <definedName name="CRONO.Lista.AdmLocal" hidden="1">#REF!</definedName>
    <definedName name="CRONO.Lista.Níveis" hidden="1">#REF!</definedName>
    <definedName name="CRONO.MaxParc" hidden="1">#REF!+#REF!</definedName>
    <definedName name="CRONO.NivelExibicao" hidden="1">#REF!</definedName>
    <definedName name="CRONO.ParcelaFinal" hidden="1">MATCH(100%,#REF!,0)</definedName>
    <definedName name="CRONOPLE.Erro" hidden="1">#REF!</definedName>
    <definedName name="CRONOPLE.Lista.AdmLocal" hidden="1">#REF!</definedName>
    <definedName name="CRONOPLE.ValorDoEvento" hidden="1">SUMIF(#REF!,#REF!,OFFSET(#REF!,0,#REF!))</definedName>
    <definedName name="DADOS.Lista.Arredondamento" hidden="1">#REF!</definedName>
    <definedName name="DADOS.Lista.FonteRecursos" hidden="1">#REF!</definedName>
    <definedName name="DADOS.Lista.RegimeExecução" hidden="1">#REF!</definedName>
    <definedName name="DADOS.Lista.RegimePreviden" hidden="1">#REF!</definedName>
    <definedName name="DESONERACAO" hidden="1">IF(OR(Import.Desoneracao="DESONERADO",Import.Desoneracao="SIM"),"SIM","NÃO")</definedName>
    <definedName name="EVENTOS.firstrow" hidden="1">#REF!</definedName>
    <definedName name="EVENTOS.Lista" hidden="1">#REF!:OFFSET(#REF!,-1,0)</definedName>
    <definedName name="EVENTOS.Lista.Agrupar" hidden="1">#REF!</definedName>
    <definedName name="EVENTOS.ListaValidacao" hidden="1">#REF!:OFFSET(#REF!,-1,0)</definedName>
    <definedName name="Excel_BuiltIn_Database" hidden="1">TEXT(Import.DataBase,"mm-aaaa")</definedName>
    <definedName name="Import.Apelido" hidden="1">#REF!</definedName>
    <definedName name="Import.BDI.Tipo1" hidden="1">#REF!</definedName>
    <definedName name="Import.BDI.Tipo2" hidden="1">#REF!</definedName>
    <definedName name="Import.BDI.Tipo3" hidden="1">#REF!</definedName>
    <definedName name="Import.BMAFAcumulado" hidden="1">OFFSET(#REF!,1,0):OFFSET(#REF!,-1,0)</definedName>
    <definedName name="Import.CNPJ" hidden="1">#REF!</definedName>
    <definedName name="Import.Código" hidden="1">OFFSET(#REF!,1,0):OFFSET(#REF!,-1,0)</definedName>
    <definedName name="Import.Contrapartida" hidden="1">#REF!</definedName>
    <definedName name="Import.CPMaxPerc" hidden="1">#REF!</definedName>
    <definedName name="Import.CPMinAbsoluta" hidden="1">#REF!</definedName>
    <definedName name="Import.CPMinPerc" hidden="1">#REF!</definedName>
    <definedName name="Import.CR" hidden="1">#REF!</definedName>
    <definedName name="Import.CRONOPLE" hidden="1">OFFSET(#REF!,1,1):OFFSET(#REF!,-1,-1)</definedName>
    <definedName name="Import.CTEF" hidden="1">#REF!</definedName>
    <definedName name="Import.CustoUnitário" hidden="1">OFFSET(#REF!,1,0):OFFSET(#REF!,-1,0)</definedName>
    <definedName name="Import.DataBase" hidden="1">OFFSET(#REF!,0,-1)</definedName>
    <definedName name="Import.DataBaseLicit" hidden="1">OFFSET(#REF!,0,-1)</definedName>
    <definedName name="Import.DataFechaRRE" hidden="1">#REF!</definedName>
    <definedName name="Import.DataInicioObra" hidden="1">#REF!</definedName>
    <definedName name="Import.DataPreenchimento" hidden="1">OFFSET(#REF!,0,-1)</definedName>
    <definedName name="Import.DescLote" hidden="1">#REF!</definedName>
    <definedName name="Import.Descrição" hidden="1">OFFSET(#REF!,1,0):OFFSET(#REF!,-1,0)</definedName>
    <definedName name="Import.Desoneracao" hidden="1">OFFSET(#REF!,0,-1)</definedName>
    <definedName name="Import.empresa" hidden="1">#REF!</definedName>
    <definedName name="Import.EventoAdmLocal" hidden="1">#REF!</definedName>
    <definedName name="Import.Eventos.Nível" hidden="1">#REF!</definedName>
    <definedName name="Import.Eventos.Nomes" hidden="1">OFFSET(#REF!,1,0):OFFSET(#REF!,-1,0)</definedName>
    <definedName name="Import.Fonte" hidden="1">OFFSET(#REF!,1,0):OFFSET(#REF!,-1,0)</definedName>
    <definedName name="Import.FrenteDeObra" hidden="1">#REF!:OFFSET(#REF!,0,-1)</definedName>
    <definedName name="Import.MacrosserviçoAdmLocal" hidden="1">#REF!</definedName>
    <definedName name="Import.Município" hidden="1">#REF!</definedName>
    <definedName name="Import.Nível" hidden="1">OFFSET(#REF!,1,0):OFFSET(#REF!,-1,0)</definedName>
    <definedName name="Import.Ofício.Num" hidden="1">#REF!</definedName>
    <definedName name="Import.OpcaoBDI" hidden="1">OFFSET(#REF!,1,0):OFFSET(#REF!,-1,0)</definedName>
    <definedName name="Import.ORÇAMENTO.DivRecurso" hidden="1">OFFSET(#REF!,1,0):OFFSET(#REF!,-1,0)</definedName>
    <definedName name="Import.PLE" hidden="1">OFFSET(#REF!,1,1):OFFSET(#REF!,-1,-1)</definedName>
    <definedName name="Import.PLQ" hidden="1">OFFSET(#REF!,1,1):OFFSET(#REF!,-1,-1)</definedName>
    <definedName name="Import.PLQ.MemCalc" hidden="1">OFFSET(#REF!,1,0):OFFSET(#REF!,-1,0)</definedName>
    <definedName name="Import.PLQ.nAgrupEvent" hidden="1">OFFSET(#REF!,1,0):OFFSET(#REF!,-1,0)</definedName>
    <definedName name="Import.Proponente" hidden="1">#REF!</definedName>
    <definedName name="Import.QCI.Divisao" hidden="1">OFFSET(#REF!,1,0):OFFSET(#REF!,-1,0)</definedName>
    <definedName name="Import.QCI.ItemInv" hidden="1">OFFSET(#REF!,1,0):OFFSET(#REF!,-1,0)</definedName>
    <definedName name="Import.QCI.Qtde" hidden="1">OFFSET(#REF!,1,0):OFFSET(#REF!,-1,0)</definedName>
    <definedName name="Import.QCI.Situacao" hidden="1">OFFSET(#REF!,1,0):OFFSET(#REF!,-1,0)</definedName>
    <definedName name="Import.QCI.SubItemInv" hidden="1">OFFSET(#REF!,1,0):OFFSET(#REF!,-1,0)</definedName>
    <definedName name="Import.QCICP" hidden="1">OFFSET(#REF!,1,0):OFFSET(#REF!,-1,0)</definedName>
    <definedName name="Import.QCIDesc" hidden="1">OFFSET(#REF!,1,0):OFFSET(#REF!,-1,0)</definedName>
    <definedName name="Import.QCIInv" hidden="1">OFFSET(#REF!,1,0):OFFSET(#REF!,-1,0)</definedName>
    <definedName name="Import.QCILote" hidden="1">OFFSET(#REF!,1,0):OFFSET(#REF!,-1,0)</definedName>
    <definedName name="Import.QCIOutros" hidden="1">OFFSET(#REF!,1,0):OFFSET(#REF!,-1,0)</definedName>
    <definedName name="Import.Quantidade" hidden="1">OFFSET(#REF!,1,0):OFFSET(#REF!,-1,0)</definedName>
    <definedName name="import.recurso" hidden="1">#REF!</definedName>
    <definedName name="Import.RegimeExecução" hidden="1">OFFSET(#REF!,0,-1)</definedName>
    <definedName name="Import.Repasse" hidden="1">#REF!</definedName>
    <definedName name="Import.RespFiscalização" hidden="1">#REF!</definedName>
    <definedName name="Import.RespOrçamento" hidden="1">#REF!</definedName>
    <definedName name="Import.SICONV" hidden="1">#REF!</definedName>
    <definedName name="Import.TipoArredondamento" hidden="1">#REF!</definedName>
    <definedName name="Import.TransfereGOV" hidden="1">#REF!</definedName>
    <definedName name="Import.Unidade" hidden="1">OFFSET(#REF!,1,0):OFFSET(#REF!,-1,0)</definedName>
    <definedName name="Import.UnitarioLicitado" hidden="1">OFFSET(#REF!,1,0):OFFSET(#REF!,-1,0)</definedName>
    <definedName name="ListaTgov.Unidades" hidden="1">#REF!</definedName>
    <definedName name="MENU.CRONO" hidden="1">OFFSET(#REF!,1,0)</definedName>
    <definedName name="MENU.Import.Form.PLQ" hidden="1">#REF!</definedName>
    <definedName name="MENU.Import.Form.PreçoUnit" hidden="1">#REF!</definedName>
    <definedName name="NumEventos" localSheetId="0" hidden="1">COUNT(OFFSET(Eventos,0,0,,1))</definedName>
    <definedName name="NumEventos" hidden="1">COUNT(OFFSET(Eventos,0,0,,1))</definedName>
    <definedName name="Objeto" hidden="1">#REF!</definedName>
    <definedName name="ORÇAMENTO.BancoRef" hidden="1">#REF!</definedName>
    <definedName name="ORÇAMENTO.CodBarra" hidden="1">IF(ORÇAMENTO.Fonte="Sinapi",SUBSTITUTE(SUBSTITUTE(ORÇAMENTO.Codigo,"/00","/"),"/0","/"),ORÇAMENTO.Codigo)</definedName>
    <definedName name="ORÇAMENTO.Codigo" hidden="1">#REF!</definedName>
    <definedName name="ORÇAMENTO.CustoUnitario" hidden="1">ROUND(#REF!,15-13*#REF!)</definedName>
    <definedName name="ORÇAMENTO.Descricao" hidden="1">#REF!</definedName>
    <definedName name="ORÇAMENTO.Fonte" hidden="1">#REF!</definedName>
    <definedName name="ORÇAMENTO.Lista.BDI" hidden="1">#REF!</definedName>
    <definedName name="ORÇAMENTO.Lista.Fonte" hidden="1">#REF!</definedName>
    <definedName name="ORÇAMENTO.Lista.Nível" hidden="1">#REF!</definedName>
    <definedName name="ORÇAMENTO.Lista.Recurso" hidden="1">#REF!</definedName>
    <definedName name="ORÇAMENTO.ListaCrono" hidden="1">OFFSET(#REF!,1,0):OFFSET(#REF!,-1,0)</definedName>
    <definedName name="ORÇAMENTO.MáximoListaCrono" hidden="1">MAX(ORÇAMENTO.ListaCrono)</definedName>
    <definedName name="ORÇAMENTO.Nivel" hidden="1">#REF!</definedName>
    <definedName name="ORÇAMENTO.OpcaoBDI" hidden="1">#REF!</definedName>
    <definedName name="ORÇAMENTO.PasteFormat1" hidden="1">OFFSET(#REF!,1,0):OFFSET(#REF!,-1,0)</definedName>
    <definedName name="ORÇAMENTO.PasteFormat2" hidden="1">OFFSET(#REF!,1,0):OFFSET(#REF!,-1,0)</definedName>
    <definedName name="ORÇAMENTO.PrecoUnitarioLicitado" hidden="1">#REF!</definedName>
    <definedName name="ORÇAMENTO.RangeQuant" hidden="1">OFFSET(#REF!,1,0):OFFSET(#REF!,-1,0)</definedName>
    <definedName name="ORÇAMENTO.SumCPMANUAL" hidden="1">SUMIF(#REF!,"CP",#REF!)</definedName>
    <definedName name="ORÇAMENTO.SumINVMANUAL" hidden="1">SUMIF(#REF!,"RP",#REF!)+SUMIF(#REF!,"CP",#REF!)+SUMIF(#REF!,"OU",#REF!)</definedName>
    <definedName name="ORÇAMENTO.SumOUTROSMANUAL" hidden="1">SUMIF(#REF!,"OU",#REF!)</definedName>
    <definedName name="ORÇAMENTO.SumREPASSEMANUAL" hidden="1">ORÇAMENTO.SumINVMANUAL-ORÇAMENTO.SumCPMANUAL-ORÇAMENTO.SumOUTROSMANUAL</definedName>
    <definedName name="ORÇAMENTO.Unidade" hidden="1">#REF!</definedName>
    <definedName name="PLE.firstrow" hidden="1">#REF!</definedName>
    <definedName name="PLE.lastrow" hidden="1">#REF!</definedName>
    <definedName name="PLE.Medicao" hidden="1">#REF!</definedName>
    <definedName name="PLE.ValorDoEvento" hidden="1">SUMIF(#REF!,#REF!,OFFSET(#REF!,0,#REF!))</definedName>
    <definedName name="PO.ValoresBDI" hidden="1">OFFSET(#REF!,1,0):OFFSET(#REF!,-1,0)</definedName>
    <definedName name="QCI.CPManual" hidden="1">ROUND(#REF!,2)</definedName>
    <definedName name="QCI.DescManual" hidden="1">#REF!</definedName>
    <definedName name="QCI.Divisao" hidden="1">#REF!</definedName>
    <definedName name="QCI.ExisteManual" hidden="1">(COUNTIF(#REF!,"Manual")+COUNTIF(#REF!,"SemiAuto"))&gt;0</definedName>
    <definedName name="QCI.InvManual" hidden="1">ROUND(#REF!,2)</definedName>
    <definedName name="QCI.ItemInvestimento" hidden="1">OFFSET(#REF!,1,0,COUNTA(#REF!)-1,1)</definedName>
    <definedName name="QCI.Lista.DivisãoInvest" hidden="1">#REF!</definedName>
    <definedName name="QCI.Lista.Situação" hidden="1">#REF!</definedName>
    <definedName name="QCI.LoteManual" hidden="1">#REF!</definedName>
    <definedName name="QCI.MaxCPManual" hidden="1">#REF!-#REF!</definedName>
    <definedName name="QCI.MaxOUManual" hidden="1">#REF!-#REF!</definedName>
    <definedName name="QCI.OutrosManual" hidden="1">ROUND(#REF!,2)</definedName>
    <definedName name="QCI.SubItemInvestimento" hidden="1">OFFSET(#REF!,1,MATCH(#REF!,#REF!,0)-1,INDEX(#REF!,MATCH(#REF!,#REF!,0)+1))</definedName>
    <definedName name="QCI.SumCPMANUAL" hidden="1">SUMIF(#REF!,"Manual",#REF!)</definedName>
    <definedName name="QCI.SumINVMANUAL" hidden="1">SUMIF(#REF!,"Manual",#REF!)</definedName>
    <definedName name="QCI.SumOUTROSMANUAL" hidden="1">SUMIF(#REF!,"Manual",#REF!)</definedName>
    <definedName name="QCI.SumREPASSEMANUAL" hidden="1">QCI.SumINVMANUAL-QCI.CPManual-QCI.OutrosManual</definedName>
    <definedName name="REFERENCIA.Descricao" hidden="1">IF(ISNUMBER(#REF!),OFFSET(INDIRECT(ORÇAMENTO.BancoRef),#REF!-1,3,1),#REF!)</definedName>
    <definedName name="REFERENCIA.Desonerado" hidden="1">IF(ISNUMBER(#REF!),VALUE(OFFSET(INDIRECT(ORÇAMENTO.BancoRef),#REF!-1,5,1)),0)</definedName>
    <definedName name="REFERENCIA.NaoDesonerado" hidden="1">IF(ISNUMBER(#REF!),VALUE(OFFSET(INDIRECT(ORÇAMENTO.BancoRef),#REF!-1,6,1)),0)</definedName>
    <definedName name="REFERENCIA.Unidade" hidden="1">IF(ISNUMBER(#REF!),OFFSET(INDIRECT(ORÇAMENTO.BancoRef),#REF!-1,4,1),"-")</definedName>
    <definedName name="RegimeExecucao" hidden="1">IF(OR(Import.RegimeExecução="",Import.RegimeExecução="Empreitada por Preço Global",Import.RegimeExecução="Empreitada Integral"),"Global","Unitário")</definedName>
    <definedName name="RRE.MaxCPAcum" hidden="1">#REF!</definedName>
    <definedName name="RRE.MaxCPAnt" hidden="1">#REF!</definedName>
    <definedName name="RRE.MaxOUAcum" hidden="1">#REF!</definedName>
    <definedName name="RRE.MaxOUAnt" hidden="1">#REF!</definedName>
    <definedName name="RRE.Numero" hidden="1">OFFSET(#REF!,0,1)</definedName>
    <definedName name="RRE.VIMeta" hidden="1">#REF!</definedName>
    <definedName name="SENHAGT" hidden="1">"PM3CAIXA"</definedName>
    <definedName name="SomaAgrup" hidden="1">SUMIF(OFFSET(#REF!,1,0,#REF!),"S",OFFSET(#REF!,1,0,#REF!))</definedName>
    <definedName name="SomaAgrupBM" hidden="1">SUMIF(OFFSET(#REF!,1,0,#REF!),"S",OFFSET(#REF!,1,0,#REF!))</definedName>
    <definedName name="TIPOORCAMENTO" hidden="1">IF(VALUE(#REF!)=2,"Licitado","Proposto")</definedName>
    <definedName name="Versao" hidden="1">#REF!</definedName>
    <definedName name="VTOTAL1" hidden="1">ROUND(#REF!*#REF!,15-13*#REF!)</definedName>
    <definedName name="VTOTALBM" hidden="1">IF(#REF!=0,0,CHOOSE(MATCH(RegimeExecucao,{"Global","Unitário"},0),ROUND(ROUND(#REF!,15-13*#REF!)/100*#REF!,15-13*#REF!),ROUND(ROUND(#REF!,15-13*#REF!)*ROUND(#REF!,15-13*#REF!),15-13*#REF!)))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K5" i="1"/>
  <c r="K6" i="1"/>
  <c r="K8" i="1"/>
  <c r="K9" i="1"/>
  <c r="K10" i="1"/>
  <c r="K11" i="1"/>
  <c r="K12" i="1"/>
  <c r="K13" i="1"/>
  <c r="K14" i="1"/>
  <c r="K16" i="1"/>
  <c r="K17" i="1"/>
  <c r="K18" i="1"/>
  <c r="K19" i="1"/>
  <c r="K20" i="1"/>
  <c r="K22" i="1"/>
  <c r="K23" i="1"/>
  <c r="K25" i="1"/>
  <c r="K26" i="1"/>
  <c r="K28" i="1"/>
  <c r="K29" i="1"/>
  <c r="K31" i="1"/>
  <c r="K33" i="1"/>
  <c r="K34" i="1"/>
  <c r="K35" i="1"/>
  <c r="K36" i="1"/>
  <c r="K38" i="1"/>
  <c r="K39" i="1"/>
  <c r="K40" i="1"/>
  <c r="K41" i="1"/>
  <c r="K43" i="1"/>
  <c r="K45" i="1"/>
  <c r="K46" i="1"/>
  <c r="K47" i="1"/>
  <c r="K48" i="1"/>
  <c r="K50" i="1"/>
  <c r="K51" i="1"/>
  <c r="K52" i="1"/>
  <c r="K53" i="1"/>
  <c r="K55" i="1"/>
  <c r="K56" i="1"/>
  <c r="K57" i="1"/>
  <c r="K58" i="1"/>
  <c r="K59" i="1"/>
  <c r="K60" i="1"/>
  <c r="K62" i="1"/>
  <c r="K63" i="1"/>
  <c r="K64" i="1"/>
  <c r="K66" i="1"/>
  <c r="K67" i="1"/>
  <c r="K69" i="1"/>
  <c r="K70" i="1"/>
  <c r="K71" i="1"/>
  <c r="K72" i="1"/>
  <c r="K73" i="1"/>
  <c r="K75" i="1"/>
  <c r="K76" i="1"/>
  <c r="K77" i="1"/>
  <c r="K78" i="1"/>
  <c r="K79" i="1"/>
  <c r="K80" i="1"/>
  <c r="K81" i="1"/>
  <c r="K82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2" i="1"/>
  <c r="K113" i="1"/>
  <c r="K114" i="1"/>
  <c r="K115" i="1"/>
  <c r="K116" i="1"/>
  <c r="K117" i="1"/>
  <c r="K118" i="1"/>
  <c r="K119" i="1"/>
  <c r="K121" i="1"/>
  <c r="K122" i="1"/>
  <c r="K123" i="1"/>
  <c r="K124" i="1"/>
  <c r="K126" i="1"/>
  <c r="K127" i="1"/>
  <c r="K3" i="1"/>
  <c r="F127" i="1" l="1"/>
  <c r="L127" i="1" s="1"/>
  <c r="Q127" i="1" s="1"/>
  <c r="F126" i="1"/>
  <c r="L126" i="1" s="1"/>
  <c r="Q126" i="1" s="1"/>
  <c r="F124" i="1"/>
  <c r="L124" i="1" s="1"/>
  <c r="F123" i="1"/>
  <c r="L123" i="1" s="1"/>
  <c r="Q123" i="1" s="1"/>
  <c r="F122" i="1"/>
  <c r="L122" i="1" s="1"/>
  <c r="Q122" i="1" s="1"/>
  <c r="F121" i="1"/>
  <c r="L121" i="1" s="1"/>
  <c r="Q121" i="1" s="1"/>
  <c r="F119" i="1"/>
  <c r="L119" i="1" s="1"/>
  <c r="Q119" i="1" s="1"/>
  <c r="F118" i="1"/>
  <c r="L118" i="1" s="1"/>
  <c r="Q118" i="1" s="1"/>
  <c r="F117" i="1"/>
  <c r="L117" i="1" s="1"/>
  <c r="Q117" i="1" s="1"/>
  <c r="F116" i="1"/>
  <c r="L116" i="1" s="1"/>
  <c r="Q116" i="1" s="1"/>
  <c r="F115" i="1"/>
  <c r="L115" i="1" s="1"/>
  <c r="Q115" i="1" s="1"/>
  <c r="F114" i="1"/>
  <c r="L114" i="1" s="1"/>
  <c r="Q114" i="1" s="1"/>
  <c r="F113" i="1"/>
  <c r="L113" i="1" s="1"/>
  <c r="F112" i="1"/>
  <c r="L112" i="1" s="1"/>
  <c r="Q112" i="1" s="1"/>
  <c r="F110" i="1"/>
  <c r="L110" i="1" s="1"/>
  <c r="Q110" i="1" s="1"/>
  <c r="F109" i="1"/>
  <c r="L109" i="1" s="1"/>
  <c r="Q109" i="1" s="1"/>
  <c r="F108" i="1"/>
  <c r="L108" i="1" s="1"/>
  <c r="Q108" i="1" s="1"/>
  <c r="F107" i="1"/>
  <c r="L107" i="1" s="1"/>
  <c r="Q107" i="1" s="1"/>
  <c r="F106" i="1"/>
  <c r="L106" i="1" s="1"/>
  <c r="Q106" i="1" s="1"/>
  <c r="F105" i="1"/>
  <c r="L105" i="1" s="1"/>
  <c r="Q105" i="1" s="1"/>
  <c r="F104" i="1"/>
  <c r="L104" i="1" s="1"/>
  <c r="Q104" i="1" s="1"/>
  <c r="F103" i="1"/>
  <c r="L103" i="1" s="1"/>
  <c r="Q103" i="1" s="1"/>
  <c r="F102" i="1"/>
  <c r="L102" i="1" s="1"/>
  <c r="Q102" i="1" s="1"/>
  <c r="F101" i="1"/>
  <c r="L101" i="1" s="1"/>
  <c r="Q101" i="1" s="1"/>
  <c r="F100" i="1"/>
  <c r="L100" i="1" s="1"/>
  <c r="Q100" i="1" s="1"/>
  <c r="F99" i="1"/>
  <c r="L99" i="1" s="1"/>
  <c r="Q99" i="1" s="1"/>
  <c r="F98" i="1"/>
  <c r="L98" i="1" s="1"/>
  <c r="Q98" i="1" s="1"/>
  <c r="F97" i="1"/>
  <c r="L97" i="1" s="1"/>
  <c r="Q97" i="1" s="1"/>
  <c r="F96" i="1"/>
  <c r="L96" i="1" s="1"/>
  <c r="Q96" i="1" s="1"/>
  <c r="F95" i="1"/>
  <c r="L95" i="1" s="1"/>
  <c r="Q95" i="1" s="1"/>
  <c r="F94" i="1"/>
  <c r="L94" i="1" s="1"/>
  <c r="Q94" i="1" s="1"/>
  <c r="F93" i="1"/>
  <c r="L93" i="1" s="1"/>
  <c r="Q93" i="1" s="1"/>
  <c r="F92" i="1"/>
  <c r="L92" i="1" s="1"/>
  <c r="Q92" i="1" s="1"/>
  <c r="F91" i="1"/>
  <c r="L91" i="1" s="1"/>
  <c r="Q91" i="1" s="1"/>
  <c r="F90" i="1"/>
  <c r="L90" i="1" s="1"/>
  <c r="Q90" i="1" s="1"/>
  <c r="F89" i="1"/>
  <c r="L89" i="1" s="1"/>
  <c r="Q89" i="1" s="1"/>
  <c r="F88" i="1"/>
  <c r="L88" i="1" s="1"/>
  <c r="Q88" i="1" s="1"/>
  <c r="F87" i="1"/>
  <c r="L87" i="1" s="1"/>
  <c r="Q87" i="1" s="1"/>
  <c r="F86" i="1"/>
  <c r="L86" i="1" s="1"/>
  <c r="Q86" i="1" s="1"/>
  <c r="F85" i="1"/>
  <c r="L85" i="1" s="1"/>
  <c r="Q85" i="1" s="1"/>
  <c r="F84" i="1"/>
  <c r="L84" i="1" s="1"/>
  <c r="Q84" i="1" s="1"/>
  <c r="F82" i="1"/>
  <c r="L82" i="1" s="1"/>
  <c r="Q82" i="1" s="1"/>
  <c r="F81" i="1"/>
  <c r="L81" i="1" s="1"/>
  <c r="Q81" i="1" s="1"/>
  <c r="F80" i="1"/>
  <c r="L80" i="1" s="1"/>
  <c r="Q80" i="1" s="1"/>
  <c r="F79" i="1"/>
  <c r="L79" i="1" s="1"/>
  <c r="Q79" i="1" s="1"/>
  <c r="F78" i="1"/>
  <c r="L78" i="1" s="1"/>
  <c r="Q78" i="1" s="1"/>
  <c r="F77" i="1"/>
  <c r="L77" i="1" s="1"/>
  <c r="Q77" i="1" s="1"/>
  <c r="F76" i="1"/>
  <c r="L76" i="1" s="1"/>
  <c r="Q76" i="1" s="1"/>
  <c r="F75" i="1"/>
  <c r="L75" i="1" s="1"/>
  <c r="Q75" i="1" s="1"/>
  <c r="F73" i="1"/>
  <c r="L73" i="1" s="1"/>
  <c r="Q73" i="1" s="1"/>
  <c r="F72" i="1"/>
  <c r="L72" i="1" s="1"/>
  <c r="Q72" i="1" s="1"/>
  <c r="F71" i="1"/>
  <c r="L71" i="1" s="1"/>
  <c r="Q71" i="1" s="1"/>
  <c r="F70" i="1"/>
  <c r="L70" i="1" s="1"/>
  <c r="Q70" i="1" s="1"/>
  <c r="F69" i="1"/>
  <c r="L69" i="1" s="1"/>
  <c r="Q69" i="1" s="1"/>
  <c r="F67" i="1"/>
  <c r="L67" i="1" s="1"/>
  <c r="F66" i="1"/>
  <c r="L66" i="1" s="1"/>
  <c r="Q66" i="1" s="1"/>
  <c r="F64" i="1"/>
  <c r="L64" i="1" s="1"/>
  <c r="Q64" i="1" s="1"/>
  <c r="F63" i="1"/>
  <c r="L63" i="1" s="1"/>
  <c r="Q63" i="1" s="1"/>
  <c r="F62" i="1"/>
  <c r="L62" i="1" s="1"/>
  <c r="Q62" i="1" s="1"/>
  <c r="F60" i="1"/>
  <c r="L60" i="1" s="1"/>
  <c r="Q60" i="1" s="1"/>
  <c r="F59" i="1"/>
  <c r="L59" i="1" s="1"/>
  <c r="Q59" i="1" s="1"/>
  <c r="F58" i="1"/>
  <c r="L58" i="1" s="1"/>
  <c r="Q58" i="1" s="1"/>
  <c r="F57" i="1"/>
  <c r="L57" i="1" s="1"/>
  <c r="Q57" i="1" s="1"/>
  <c r="F56" i="1"/>
  <c r="L56" i="1" s="1"/>
  <c r="Q56" i="1" s="1"/>
  <c r="F55" i="1"/>
  <c r="L55" i="1" s="1"/>
  <c r="Q55" i="1" s="1"/>
  <c r="F53" i="1"/>
  <c r="L53" i="1" s="1"/>
  <c r="Q53" i="1" s="1"/>
  <c r="F52" i="1"/>
  <c r="L52" i="1" s="1"/>
  <c r="Q52" i="1" s="1"/>
  <c r="F51" i="1"/>
  <c r="L51" i="1" s="1"/>
  <c r="Q51" i="1" s="1"/>
  <c r="F50" i="1"/>
  <c r="L50" i="1" s="1"/>
  <c r="Q50" i="1" s="1"/>
  <c r="F48" i="1"/>
  <c r="L48" i="1" s="1"/>
  <c r="Q48" i="1" s="1"/>
  <c r="F47" i="1"/>
  <c r="L47" i="1" s="1"/>
  <c r="Q47" i="1" s="1"/>
  <c r="F46" i="1"/>
  <c r="L46" i="1" s="1"/>
  <c r="Q46" i="1" s="1"/>
  <c r="F45" i="1"/>
  <c r="L45" i="1" s="1"/>
  <c r="Q45" i="1" s="1"/>
  <c r="F43" i="1"/>
  <c r="L43" i="1" s="1"/>
  <c r="F41" i="1"/>
  <c r="L41" i="1" s="1"/>
  <c r="Q41" i="1" s="1"/>
  <c r="F40" i="1"/>
  <c r="L40" i="1" s="1"/>
  <c r="Q40" i="1" s="1"/>
  <c r="F39" i="1"/>
  <c r="L39" i="1" s="1"/>
  <c r="Q39" i="1" s="1"/>
  <c r="F38" i="1"/>
  <c r="L38" i="1" s="1"/>
  <c r="Q38" i="1" s="1"/>
  <c r="F36" i="1"/>
  <c r="L36" i="1" s="1"/>
  <c r="F35" i="1"/>
  <c r="L35" i="1" s="1"/>
  <c r="Q35" i="1" s="1"/>
  <c r="F34" i="1"/>
  <c r="L34" i="1" s="1"/>
  <c r="Q34" i="1" s="1"/>
  <c r="F33" i="1"/>
  <c r="L33" i="1" s="1"/>
  <c r="Q33" i="1" s="1"/>
  <c r="F31" i="1"/>
  <c r="L31" i="1" s="1"/>
  <c r="F29" i="1"/>
  <c r="L29" i="1" s="1"/>
  <c r="Q29" i="1" s="1"/>
  <c r="F28" i="1"/>
  <c r="L28" i="1" s="1"/>
  <c r="Q28" i="1" s="1"/>
  <c r="F26" i="1"/>
  <c r="L26" i="1" s="1"/>
  <c r="Q26" i="1" s="1"/>
  <c r="F25" i="1"/>
  <c r="L25" i="1" s="1"/>
  <c r="Q25" i="1" s="1"/>
  <c r="F23" i="1"/>
  <c r="L23" i="1" s="1"/>
  <c r="Q23" i="1" s="1"/>
  <c r="F22" i="1"/>
  <c r="L22" i="1" s="1"/>
  <c r="Q22" i="1" s="1"/>
  <c r="F20" i="1"/>
  <c r="L20" i="1" s="1"/>
  <c r="Q20" i="1" s="1"/>
  <c r="F19" i="1"/>
  <c r="L19" i="1" s="1"/>
  <c r="Q19" i="1" s="1"/>
  <c r="F18" i="1"/>
  <c r="L18" i="1" s="1"/>
  <c r="Q18" i="1" s="1"/>
  <c r="F17" i="1"/>
  <c r="L17" i="1" s="1"/>
  <c r="Q17" i="1" s="1"/>
  <c r="F16" i="1"/>
  <c r="L16" i="1" s="1"/>
  <c r="Q16" i="1" s="1"/>
  <c r="F14" i="1"/>
  <c r="L14" i="1" s="1"/>
  <c r="Q14" i="1" s="1"/>
  <c r="F13" i="1"/>
  <c r="L13" i="1" s="1"/>
  <c r="Q13" i="1" s="1"/>
  <c r="F12" i="1"/>
  <c r="L12" i="1" s="1"/>
  <c r="Q12" i="1" s="1"/>
  <c r="F11" i="1"/>
  <c r="L11" i="1" s="1"/>
  <c r="Q11" i="1" s="1"/>
  <c r="F10" i="1"/>
  <c r="L10" i="1" s="1"/>
  <c r="Q10" i="1" s="1"/>
  <c r="F9" i="1"/>
  <c r="L9" i="1" s="1"/>
  <c r="Q9" i="1" s="1"/>
  <c r="F8" i="1"/>
  <c r="L8" i="1" s="1"/>
  <c r="F6" i="1"/>
  <c r="L6" i="1" s="1"/>
  <c r="Q6" i="1" s="1"/>
  <c r="F5" i="1"/>
  <c r="L5" i="1" s="1"/>
  <c r="Q5" i="1" s="1"/>
  <c r="F4" i="1"/>
  <c r="L4" i="1" s="1"/>
  <c r="Q4" i="1" s="1"/>
  <c r="F3" i="1"/>
  <c r="L3" i="1" s="1"/>
  <c r="Q3" i="1" s="1"/>
  <c r="Q124" i="1" l="1"/>
  <c r="Q43" i="1"/>
  <c r="L42" i="1"/>
  <c r="L27" i="1"/>
  <c r="L30" i="1"/>
  <c r="Q31" i="1"/>
  <c r="L32" i="1"/>
  <c r="Q36" i="1"/>
  <c r="L65" i="1"/>
  <c r="Q67" i="1"/>
  <c r="L111" i="1"/>
  <c r="Q113" i="1"/>
  <c r="L44" i="1"/>
  <c r="L15" i="1"/>
  <c r="L7" i="1"/>
  <c r="Q8" i="1"/>
  <c r="L37" i="1"/>
  <c r="L61" i="1"/>
  <c r="L83" i="1"/>
  <c r="L2" i="1"/>
  <c r="L120" i="1"/>
  <c r="L49" i="1"/>
  <c r="L125" i="1"/>
  <c r="Q128" i="1" s="1"/>
  <c r="L74" i="1"/>
  <c r="L68" i="1"/>
  <c r="L54" i="1"/>
  <c r="L24" i="1"/>
  <c r="L21" i="1"/>
</calcChain>
</file>

<file path=xl/sharedStrings.xml><?xml version="1.0" encoding="utf-8"?>
<sst xmlns="http://schemas.openxmlformats.org/spreadsheetml/2006/main" count="841" uniqueCount="342">
  <si>
    <t>Nivel</t>
  </si>
  <si>
    <t>N° Macrosserviço / Serviço</t>
  </si>
  <si>
    <t>Fonte</t>
  </si>
  <si>
    <t>Código</t>
  </si>
  <si>
    <t>Descrição Macrosserviço / Serviço</t>
  </si>
  <si>
    <t>Qtd. (valor calculado)</t>
  </si>
  <si>
    <t>Und.</t>
  </si>
  <si>
    <t>Custo Unitário Referência</t>
  </si>
  <si>
    <t>Custo Unitário</t>
  </si>
  <si>
    <t>BDI</t>
  </si>
  <si>
    <t>Preço Unitário (valor calculado)</t>
  </si>
  <si>
    <t>Preço Total (valor calculado)</t>
  </si>
  <si>
    <t>Observação</t>
  </si>
  <si>
    <t>N° Frente de Obra</t>
  </si>
  <si>
    <t>Frente de Obra</t>
  </si>
  <si>
    <t>Qtd.</t>
  </si>
  <si>
    <t>Valor</t>
  </si>
  <si>
    <t>Macrosserviço</t>
  </si>
  <si>
    <t>1</t>
  </si>
  <si>
    <t>FUNDAÇÃO</t>
  </si>
  <si>
    <t>Serviço</t>
  </si>
  <si>
    <t>1.1</t>
  </si>
  <si>
    <t>SINAPI</t>
  </si>
  <si>
    <t>97082</t>
  </si>
  <si>
    <t>ESCAVAÇÃO MANUAL DE VIGA DE BORDA PARA RADIER. AF_09/2021</t>
  </si>
  <si>
    <t>M3</t>
  </si>
  <si>
    <t>Frente Única</t>
  </si>
  <si>
    <t>1.2</t>
  </si>
  <si>
    <t>97084</t>
  </si>
  <si>
    <t>COMPACTAÇÃO MECÂNICA DE SOLO PARA EXECUÇÃO DE RADIER, PISO DE CONCRETO OU LAJE SOBRE SOLO, COM COMPACTADOR DE SOLOS TIPO PLACA VIBRATÓRIA. AF_09/2021</t>
  </si>
  <si>
    <t>M2</t>
  </si>
  <si>
    <t>1.3</t>
  </si>
  <si>
    <t>95241</t>
  </si>
  <si>
    <t>LASTRO DE CONCRETO MAGRO, APLICADO EM PISOS, LAJES SOBRE SOLO OU RADIERS, ESPESSURA DE 5 CM. AF_01/2024</t>
  </si>
  <si>
    <t>1.4</t>
  </si>
  <si>
    <t>89470</t>
  </si>
  <si>
    <t>ALVENARIA DE BLOCOS DE CONCRETO ESTRUTURAL 14X19X39 CM (ESPESSURA 14 CM), FBK = 4,5 MPA, UTILIZANDO COLHER DE PEDREIRO. AF_10/2022</t>
  </si>
  <si>
    <t>2</t>
  </si>
  <si>
    <t>PAVIMENTAÇÃO</t>
  </si>
  <si>
    <t>2.1</t>
  </si>
  <si>
    <t>100576</t>
  </si>
  <si>
    <t>REGULARIZAÇÃO E COMPACTAÇÃO DE SUBLEITO DE SOLO PREDOMINANTEMENTE ARGILOSO, PARA OBRAS DE CONSTRUÇÃO DE PAVIMENTOS. AF_09/2024</t>
  </si>
  <si>
    <t>2.2</t>
  </si>
  <si>
    <t>Composição</t>
  </si>
  <si>
    <t>C001</t>
  </si>
  <si>
    <t>LASTRO COM MATERIAL GRANULAR (PEDRA BRITADA N.1), ESPESSURA DE 10 CM</t>
  </si>
  <si>
    <t>-</t>
  </si>
  <si>
    <t>2.3</t>
  </si>
  <si>
    <t>C002</t>
  </si>
  <si>
    <t>LASTRO COM MATERIAL GRANULAR (PEDRA BRITADA N.0), ESPESSURA DE 5 CM</t>
  </si>
  <si>
    <t>2.4</t>
  </si>
  <si>
    <t>C003</t>
  </si>
  <si>
    <t>LASTRO COM MATERIAL GRANULAR (PÓ DE BRITA), ESPESSURA DE 5 CM</t>
  </si>
  <si>
    <t>2.5</t>
  </si>
  <si>
    <t>C004</t>
  </si>
  <si>
    <t>GRAMA SINTÉTICA ESPORTIVA PARA FUTEBOL EM POLIETILENO, COM ALTURA MINIMA DE 42 MM (FORNECIMENTO E COLOCAÇÃO)</t>
  </si>
  <si>
    <t>2.6</t>
  </si>
  <si>
    <t>2.7</t>
  </si>
  <si>
    <t>C008</t>
  </si>
  <si>
    <t>EXECUÇÃO DE PASSEIO (CALÇADA) OU PISO DE CONCRETO COM CONCRETO MOLDADO IN LOCO, FEITO EM OBRA, ACABAMENTO CONVENCIONAL, ESPESSURA 6 CM</t>
  </si>
  <si>
    <t>3</t>
  </si>
  <si>
    <t>ESTRUTURA</t>
  </si>
  <si>
    <t>3.1</t>
  </si>
  <si>
    <t>96542</t>
  </si>
  <si>
    <t>FABRICAÇÃO, MONTAGEM E DESMONTAGEM DE FÔRMA PARA VIGA BALDRAME, EM CHAPA DE MADEIRA COMPENSADA RESINADA, E=17 MM, 4 UTILIZAÇÕES. AF_01/2024</t>
  </si>
  <si>
    <t>3.2</t>
  </si>
  <si>
    <t>96543</t>
  </si>
  <si>
    <t>ARMAÇÃO DE BLOCO UTILIZANDO AÇO CA-60 DE 5 MM - MONTAGEM. AF_01/2024</t>
  </si>
  <si>
    <t>KG</t>
  </si>
  <si>
    <t>3.3</t>
  </si>
  <si>
    <t>96545</t>
  </si>
  <si>
    <t>ARMAÇÃO DE BLOCO UTILIZANDO AÇO CA-50 DE 8 MM - MONTAGEM. AF_01/2024</t>
  </si>
  <si>
    <t>3.4</t>
  </si>
  <si>
    <t>96555</t>
  </si>
  <si>
    <t>CONCRETAGEM DE BLOCO DE COROAMENTO OU VIGA BALDRAME, FCK 30 MPA, COM USO DE JERICA - LANÇAMENTO, ADENSAMENTO E ACABAMENTO. AF_01/2024</t>
  </si>
  <si>
    <t>3.5</t>
  </si>
  <si>
    <t>C007</t>
  </si>
  <si>
    <t>ESTACA BROCA DE CONCRETO (0,20 X 0,20) M, ESCAVAÇÃO MANUAL, COM TUBO DE AÇO GALVANIZADO DE 2"</t>
  </si>
  <si>
    <t>4</t>
  </si>
  <si>
    <t>ALVENARIA E FECHAMENTO</t>
  </si>
  <si>
    <t>4.1</t>
  </si>
  <si>
    <t>103325</t>
  </si>
  <si>
    <t>ALVENARIA DE VEDAÇÃO DE BLOCOS CERÂMICOS FURADOS NA VERTICAL DE 14X19X39 CM (ESPESSURA 14 CM) E ARGAMASSA DE ASSENTAMENTO COM PREPARO MANUAL. AF_12/2021</t>
  </si>
  <si>
    <t>4.2</t>
  </si>
  <si>
    <t>102363</t>
  </si>
  <si>
    <t>ALAMBRADO PARA QUADRA POLIESPORTIVA, ESTRUTURADO POR TUBOS DE AÇO GALVANIZADO, (MONTANTES COM DIÂMETRO 2", TRAVESSAS E ESCORAS COM DIÂMETRO 1 ¼"), COM TELA DE ARAME GALVANIZADO, FIO 12 BWG E MALHA QUADRADA 5X5CM (EXCETO MURETA). AF_12/2025</t>
  </si>
  <si>
    <t>5</t>
  </si>
  <si>
    <t>REVESTIMENTO</t>
  </si>
  <si>
    <t>5.1</t>
  </si>
  <si>
    <t>87878</t>
  </si>
  <si>
    <t>CHAPISCO APLICADO EM ALVENARIAS E ESTRUTURAS DE CONCRETO INTERNAS, COM COLHER DE PEDREIRO. ARGAMASSA TRAÇO 1:3 COM PREPARO MANUAL. AF_10/2022</t>
  </si>
  <si>
    <t>5.2</t>
  </si>
  <si>
    <t>87530</t>
  </si>
  <si>
    <t>MASSA ÚNICA, EM ARGAMASSA TRAÇO 1:2:8, PREPARO MANUAL, APLICADA MANUALMENTE EM PAREDES INTERNAS DE AMBIENTES COM ÁREA ENTRE 5M² E 10M², E = 17,5MM, COM TALISCAS. AF_03/2024</t>
  </si>
  <si>
    <t>6</t>
  </si>
  <si>
    <t>PINTURA</t>
  </si>
  <si>
    <t>6.1</t>
  </si>
  <si>
    <t>104642</t>
  </si>
  <si>
    <t>PINTURA LÁTEX ACRÍLICA STANDARD, APLICAÇÃO MANUAL EM PAREDES, DUAS DEMÃOS. AF_04/2023</t>
  </si>
  <si>
    <t>6.2</t>
  </si>
  <si>
    <t>100750</t>
  </si>
  <si>
    <t>PINTURA COM TINTA ALQUÍDICA DE ACABAMENTO (ESMALTE SINTÉTICO FOSCO) APLICADA A ROLO OU PINCEL SOBRE SUPERFÍCIES METÁLICAS (EXCETO PERFIL) EXECUTADO EM OBRA (POR DEMÃO). AF_01/2020</t>
  </si>
  <si>
    <t>7</t>
  </si>
  <si>
    <t>EQUIPAMENTOS</t>
  </si>
  <si>
    <t>7.1</t>
  </si>
  <si>
    <t>C005</t>
  </si>
  <si>
    <t>CONJUNTO PARA FUTEBOL DE CAMPO COM PAR DE TRAVES OFICIAIS DE 5,00 X 2,20 M EM TUBO DE ACO GALVANIZADO 4", PINTURA EM PRIMER COM TINTA ESMALTE SINTETICO E REDES DE POLIETILENO FIO 3 MM - FORNECIMENTO E INSTALAÇÃO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</si>
  <si>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</si>
  <si>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</si>
  <si>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</si>
  <si>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</si>
  <si>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</si>
  <si>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</si>
  <si>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</si>
  <si>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</si>
  <si>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</si>
  <si>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94994</t>
  </si>
  <si>
    <t>EXECUÇÃO DE PASSEIO (CALÇADA) OU PISO DE CONCRETO COM CONCRETO MOLDADO IN LOCO, FEITO EM OBRA, ACABAMENTO CONVENCIONAL, ESPESSURA 8 CM, ARMADO. AF_08/2022</t>
  </si>
  <si>
    <t>9.4</t>
  </si>
  <si>
    <t>Cotação</t>
  </si>
  <si>
    <t>COT-010</t>
  </si>
  <si>
    <t>PISO MODULAR EM POLIPROPILENO DE ALTO IMPACTO E RESISTÊNCIA, PROTEÇÃO UV, INCLUINDO DEMARCAÇÃO DA QUADRA COM TINTA À BASE DE PU - FORNECIMENTO E INSTALAÇÃO</t>
  </si>
  <si>
    <t>10</t>
  </si>
  <si>
    <t>10.1</t>
  </si>
  <si>
    <t>C006</t>
  </si>
  <si>
    <t>TABELA DE BASQUETE DE COMPENSADO NAVAL, COM AROS, REDES E ESTRUTURA EM TUBO GALVANIZADO - FORNECIMENTO E INSTALAÇÃO.</t>
  </si>
  <si>
    <t>11</t>
  </si>
  <si>
    <t>11.1</t>
  </si>
  <si>
    <t>11.2</t>
  </si>
  <si>
    <t>11.3</t>
  </si>
  <si>
    <t>11.4</t>
  </si>
  <si>
    <t>12</t>
  </si>
  <si>
    <t>12.1</t>
  </si>
  <si>
    <t>12.2</t>
  </si>
  <si>
    <t>12.3</t>
  </si>
  <si>
    <t>87702</t>
  </si>
  <si>
    <t>CONTRAPISO EM ARGAMASSA TRAÇO 1:4 (CIMENTO E AREIA), PREPARO MANUAL, APLICADO EM ÁREAS SECAS SOBRE LAJE, NÃO ADERIDO, ACABAMENTO NÃO REFORÇADO, ESPESSURA 6CM. AF_07/2021</t>
  </si>
  <si>
    <t>12.4</t>
  </si>
  <si>
    <t>101735</t>
  </si>
  <si>
    <t>PISO DE BORRACHA ESPORTIVO, ESPESSURA 15MM, ASSENTADO COM ARGAMASSA. AF_09/2020</t>
  </si>
  <si>
    <t>13</t>
  </si>
  <si>
    <t>13.1</t>
  </si>
  <si>
    <t>COT-001</t>
  </si>
  <si>
    <t>PAREDE ESCALADA (2,00 X 1,80)M EM MADEIRA PINUS OU EUCALIPTO TRATADO, COM ACABAMENTO EM VERNIZ FOSCO, REF. MODELO M111 DA LÚDICO PARQUES OU SIMILAR - FORNECIMENTO E MONTAGEM</t>
  </si>
  <si>
    <t>13.2</t>
  </si>
  <si>
    <t>COT-002</t>
  </si>
  <si>
    <t>GANGORRA DUPLA (3,00 X 2,50)M EM MADEIRA PINUS OU EUCALIPTO TRATADO, COM ACABAMENTO EM VERNIZ FOSCO, REF. MODELO M128 DA LÚDICO PARQUES OU SIMILAR - FORNECIMENTO E MONTAGEM</t>
  </si>
  <si>
    <t>13.3</t>
  </si>
  <si>
    <t>COT-003</t>
  </si>
  <si>
    <t>BRINQUEDO (4,00 X 5,00)M EM MADEIRA PINUS OU EUCALIPTO TRATADO, COM ACABAMENTO EM VERNIZ FOSCO, CONTENDO 1 CASINHA, 1 RAMPA DE ACESSO, 1 ESCORREGADOR, 1 ESCADA DE MARINHEIRO E 2 BALANÇOS, REF. MODELO M220 DA LÚDICO PARQUES OU SIMILAR</t>
  </si>
  <si>
    <t>13.4</t>
  </si>
  <si>
    <t>COT-006</t>
  </si>
  <si>
    <t>BALANÇO DUPLO (1,50 X 3,00)M EM MADEIRA  PINUS OU EUCALIPTO TRATADO, COM ACABAMENTO EM VERNIZ FOSCO, REF. MODELO M117 DA LÚDICO PARQUES OU SIMILAR - FORNECIMENTO E MONTAGEM</t>
  </si>
  <si>
    <t>13.5</t>
  </si>
  <si>
    <t>COT-004</t>
  </si>
  <si>
    <t>BANCO FIXO (0,70 X 1,50)M EM MADEIRA PINUS OU EUCALIPTO TRATADO, COM ACABAMENTO EM VERNIZ FOSCO, REF. MODELO M312 DA LÚDICO PARQUES OU SIMILAR - FORNECIMENTO E MONTAGEM</t>
  </si>
  <si>
    <t>13.6</t>
  </si>
  <si>
    <t>COT-005</t>
  </si>
  <si>
    <t>CESTO DE LIXO (0,60 X 0,60)M EM MADEIRA  PINUS OU EUCALIPTO TRATADO, COM ACABAMENTO EM VERNIZ FOSCO, REF. MODELO M313 DA LÚDICO PARQUES OU SIMILAR - FORNECIMENTO E MONTAGEM</t>
  </si>
  <si>
    <t>14</t>
  </si>
  <si>
    <t>14.1</t>
  </si>
  <si>
    <t>14.2</t>
  </si>
  <si>
    <t>14.3</t>
  </si>
  <si>
    <t>15</t>
  </si>
  <si>
    <t>15.1</t>
  </si>
  <si>
    <t>102494</t>
  </si>
  <si>
    <t>PINTURA DE PISO COM TINTA EPÓXI, APLICAÇÃO MANUAL, 2 DEMÃOS, INCLUSO PRIMER EPÓXI. AF_05/2021</t>
  </si>
  <si>
    <t>15.2</t>
  </si>
  <si>
    <t>102506</t>
  </si>
  <si>
    <t>PINTURA DE DEMARCAÇÃO DE QUADRA POLIESPORTIVA COM TINTA EPÓXI, E = 5 CM, APLICAÇÃO MANUAL. AF_05/2021</t>
  </si>
  <si>
    <t>M</t>
  </si>
  <si>
    <t>16</t>
  </si>
  <si>
    <t>16.1</t>
  </si>
  <si>
    <t>16.2</t>
  </si>
  <si>
    <t>16.3</t>
  </si>
  <si>
    <t>16.4</t>
  </si>
  <si>
    <t>94279</t>
  </si>
  <si>
    <t>ASSENTAMENTO DE GUIA (MEIO-FIO) EM TRECHO RETO, CONFECCIONADA EM CONCRETO PRÉ-FABRICADO, DIMENSÕES 39X6,5X6,5X19 CM (COMPRIMENTO X BASE INFERIOR X BASE SUPERIOR X ALTURA), PARA DELIMITAÇÃO DE JARDINS, PRAÇAS OU PASSEIOS. AF_01/2024</t>
  </si>
  <si>
    <t>16.5</t>
  </si>
  <si>
    <t>103946</t>
  </si>
  <si>
    <t>PLANTIO DE GRAMA ESMERALDA OU SÃO CARLOS OU CURITIBANA, EM PLACAS. AF_07/2024</t>
  </si>
  <si>
    <t>17</t>
  </si>
  <si>
    <t>URBANIZAÇÃO E PAISAGISMO</t>
  </si>
  <si>
    <t>17.1</t>
  </si>
  <si>
    <t>17.2</t>
  </si>
  <si>
    <t>17.3</t>
  </si>
  <si>
    <t>COT-007</t>
  </si>
  <si>
    <t>MESA PARA JOGOS (1,00 X 1,00)M  COM 4 BANCOS (0,30 X 0,30)M EM MADEIRA  PINUS OU EUCALIPTO TRATADO, COM ACABAMENTO EM VERNIZ FOSCO, REF. MODELO M314 DA LÚDICO PARQUES OU SIMILAR - FORNECIMENTO E MONTAGEM</t>
  </si>
  <si>
    <t>17.4</t>
  </si>
  <si>
    <t>COT-008</t>
  </si>
  <si>
    <t>CONJUNTO MESA (1,00 X 2,00)M E 2 BANCOS (0,30 X 2,00)M EM MADEIRA  PINUS OU EUCALIPTO TRATADO, COM ACABAMENTO EM VERNIZ FOSCO, REF. MODELO M315 DA LÚDICO PARQUES OU SIMILAR - FORNECIMENTO E MONTAGEM</t>
  </si>
  <si>
    <t>17.5</t>
  </si>
  <si>
    <t>103315</t>
  </si>
  <si>
    <t>INSTALAÇÃO DE PERGOLADO DE MADEIRA, EM MAÇARANDUBA, ANGELIM OU EQUIVALENTE DA REGIÃO, FIXADO COM CONCRETO SOBRE SOLO. AF_11/2021</t>
  </si>
  <si>
    <t>17.6</t>
  </si>
  <si>
    <t>98509</t>
  </si>
  <si>
    <t>PLANTIO DE ARBUSTO OU CERCA VIVA. AF_07/2024</t>
  </si>
  <si>
    <t>UN</t>
  </si>
  <si>
    <t>17.7</t>
  </si>
  <si>
    <t>98510</t>
  </si>
  <si>
    <t>PLANTIO DE ÁRVORE ORNAMENTAL COM ALTURA DE MUDA MENOR OU IGUAL A 2,00 M . AF_07/2024</t>
  </si>
  <si>
    <t>17.8</t>
  </si>
  <si>
    <t>98511</t>
  </si>
  <si>
    <t>PLANTIO DE ÁRVORE ORNAMENTAL COM ALTURA DE MUDA MAIOR QUE 2,00 M E MENOR OU IGUAL A 4,00 M . AF_07/2024</t>
  </si>
  <si>
    <t>18</t>
  </si>
  <si>
    <t>INSTALAÇÕES ELÉTRICAS</t>
  </si>
  <si>
    <t>18.1</t>
  </si>
  <si>
    <t>C011</t>
  </si>
  <si>
    <t>ELETRODUTO RÍGIDO SOLDÁVEL, PVC, DN 32 MM (1"), APARENTE - FORNECIMENTO E INSTALAÇÃO</t>
  </si>
  <si>
    <t>18.2</t>
  </si>
  <si>
    <t>C012</t>
  </si>
  <si>
    <t>ELETRODUTO FLEXÍVEL CORRUGADO, PEAD, DN 50 (1 1/2"), PARA REDE ENTERRADA DE DISTRIBUIÇÃO DE ENERGIA ELÉTRICA - FORNECIMENTO E INSTALAÇÃO</t>
  </si>
  <si>
    <t>18.3</t>
  </si>
  <si>
    <t>C013</t>
  </si>
  <si>
    <t>ELETRODUTO FLEXÍVEL CORRUGADO, PEAD, DN 63 (2"), PARA REDE ENTERRADA DE DISTRIBUIÇÃO DE ENERGIA ELÉTRICA - FORNECIMENTO E INSTALAÇÃO</t>
  </si>
  <si>
    <t>18.4</t>
  </si>
  <si>
    <t>C014</t>
  </si>
  <si>
    <t>ELETRODUTO RÍGIDO ROSCÁVEL, PVC, DN 32 MM (1"), APARENTE - FORNECIMENTO E INSTALAÇÃO</t>
  </si>
  <si>
    <t>18.5</t>
  </si>
  <si>
    <t>C015</t>
  </si>
  <si>
    <t>CURVA LONGA 90 GRAUS PARA ELETRODUTO, PVC, ROSCÁVEL, DN 32 MM (1") - FORNECIMENTO E INSTALAÇÃO</t>
  </si>
  <si>
    <t>18.6</t>
  </si>
  <si>
    <t>C016</t>
  </si>
  <si>
    <t>CABO DE COBRE FLEXÍVEL ISOLADO, 2,5 MM², ANTI-CHAMA 0,6/1,0 KV - FORNECIMENTO E INSTALAÇÃO</t>
  </si>
  <si>
    <t>18.7</t>
  </si>
  <si>
    <t>C017</t>
  </si>
  <si>
    <t>CABO DE COBRE FLEXÍVEL ISOLADO, 4 MM², ANTI-CHAMA 0,6/1,0 KV - FORNECIMENTO E INSTALAÇÃO</t>
  </si>
  <si>
    <t>18.8</t>
  </si>
  <si>
    <t>C018</t>
  </si>
  <si>
    <t>CABO DE COBRE FLEXÍVEL ISOLADO, 6 MM², ANTI-CHAMA 0,6/1,0 KV - FORNECIMENTO E INSTALAÇÃO</t>
  </si>
  <si>
    <t>18.9</t>
  </si>
  <si>
    <t>C019</t>
  </si>
  <si>
    <t>CABO DE COBRE FLEXÍVEL ISOLADO, 10 MM², ANTI-CHAMA 0,6/1,0 KV - FORNECIMENTO E INSTALAÇÃO</t>
  </si>
  <si>
    <t>18.10</t>
  </si>
  <si>
    <t>C020</t>
  </si>
  <si>
    <t>CABO DE COBRE FLEXÍVEL ISOLADO, 16 MM², ANTI-CHAMA 0,6/1,0 KV - FORNECIMENTO E INSTALAÇÃO</t>
  </si>
  <si>
    <t>18.11</t>
  </si>
  <si>
    <t>C021</t>
  </si>
  <si>
    <t>CONDULETE DE ALUMÍNIO, TIPO C, PARA ELETRODUTO DE PVC DN 32 MM (1"), APARENTE - FORNECIMENTO E INSTALAÇÃO</t>
  </si>
  <si>
    <t>18.12</t>
  </si>
  <si>
    <t>C022</t>
  </si>
  <si>
    <t>CONDULETE DE ALUMÍNIO, TIPO E, PARA ELETRODUTO DE PVC DN 32 MM (1"), APARENTE - FORNECIMENTO E INSTALAÇÃO</t>
  </si>
  <si>
    <t>18.13</t>
  </si>
  <si>
    <t>C023</t>
  </si>
  <si>
    <t>CONDULETE DE ALUMÍNIO, TIPO T, PARA ELETRODUTO DE PVC DN 32 MM (1"), APARENTE - FORNECIMENTO E INSTALAÇÃO</t>
  </si>
  <si>
    <t>18.14</t>
  </si>
  <si>
    <t>C024</t>
  </si>
  <si>
    <t>ENTRADA DE ENERGIA ELÉTRICA, AÉREA, TRIFÁSICA, COM CAIXA DE SOBREPOR, CABO DE 16 MM2 E DISJUNTOR DIN 70A (NÃO INCLUSO O POSTE DE CONCRETO)</t>
  </si>
  <si>
    <t>18.15</t>
  </si>
  <si>
    <t>C025</t>
  </si>
  <si>
    <t>QUADRO DE DISTRIBUIÇÃO DE ENERGIA EM CHAPA DE AÇO GALVANIZADO, DE EMBUTIR, COM BARRAMENTO TRIFÁSICO, PARA 18 DISJUNTORES DIN 100A - FORNECIMENTO E INSTALAÇÃO</t>
  </si>
  <si>
    <t>18.16</t>
  </si>
  <si>
    <t>C026</t>
  </si>
  <si>
    <t>DISJUNTOR MONOPOLAR TIPO DIN, CORRENTE NOMINAL DE 16A - FORNECIMENTO E INSTALAÇÃO</t>
  </si>
  <si>
    <t>18.17</t>
  </si>
  <si>
    <t>C027</t>
  </si>
  <si>
    <t>DISJUNTOR MONOPOLAR TIPO DIN, CORRENTE NOMINAL DE 20A - FORNECIMENTO E INSTALAÇÃO</t>
  </si>
  <si>
    <t>18.18</t>
  </si>
  <si>
    <t>C028</t>
  </si>
  <si>
    <t>DISJUNTOR TRIPOLAR TIPO DIN, CORRENTE NOMINAL DE 25A - FORNECIMENTO E INSTALAÇÃO</t>
  </si>
  <si>
    <t>18.19</t>
  </si>
  <si>
    <t>C029</t>
  </si>
  <si>
    <t>DISPOSITIVO DE PROTEÇÃO CONTRA SURTO 45 KA, 175 V, TIPO AC - FORNECIMENTO E INSTALAÇÃO</t>
  </si>
  <si>
    <t>18.20</t>
  </si>
  <si>
    <t>C030</t>
  </si>
  <si>
    <t>CORDOALHA DE COBRE NU 50 MM², NÃO ENTERRADA, COM ISOLADOR - FORNECIMENTO E INSTALAÇÃO</t>
  </si>
  <si>
    <t>18.21</t>
  </si>
  <si>
    <t>C031</t>
  </si>
  <si>
    <t>HASTE DE ATERRAMENTO, DIÂMETRO 3/4", COM 3 METROS - FORNECIMENTO E INSTALAÇÃO</t>
  </si>
  <si>
    <t>18.22</t>
  </si>
  <si>
    <t>98111</t>
  </si>
  <si>
    <t>CAIXA DE INSPEÇÃO PARA ATERRAMENTO, CIRCULAR, EM POLIETILENO, DIÂMETRO INTERNO = 0,3 M. AF_12/2020</t>
  </si>
  <si>
    <t>18.23</t>
  </si>
  <si>
    <t>C032</t>
  </si>
  <si>
    <t>RELÉ FOTOELÉTRICO PARA COMANDO DE ILUMINAÇÃO EXTERNA 1800 W - FORNECIMENTO E INSTALAÇÃO</t>
  </si>
  <si>
    <t>18.24</t>
  </si>
  <si>
    <t>C033</t>
  </si>
  <si>
    <t>REFLETOR EM ALUMÍNIO, DE SUPORTE E ALÇA, COM LÂMPADA EM LED 100W DE POTÊNCIA - FORNECIMENTO E INSTALAÇÃO</t>
  </si>
  <si>
    <t>18.25</t>
  </si>
  <si>
    <t>97886</t>
  </si>
  <si>
    <t>CAIXA ENTERRADA ELÉTRICA RETANGULAR, EM ALVENARIA COM TIJOLOS CERÂMICOS MACIÇOS, FUNDO COM BRITA, DIMENSÕES INTERNAS: 0,3X0,3X0,3 M. AF_12/2020</t>
  </si>
  <si>
    <t>18.26</t>
  </si>
  <si>
    <t>C034</t>
  </si>
  <si>
    <t>POSTE EM CONCRETO ARMADO SEÇÃO CIRCULAR 200/10, TIPO C-14 COM 3 REFLETORES EM LED 200W FIXADOS EM CRUZETA DE CONCRETO - FORNECIMENTO E INSTALAÇÃO</t>
  </si>
  <si>
    <t>18.27</t>
  </si>
  <si>
    <t>C035</t>
  </si>
  <si>
    <t>POSTE EM CONCRETO ARMADO SEÇÃO CIRCULAR 200/10, TIPO C-14 COM 6 REFLETORES EM LED 200W FIXADOS EM CRUZETA DE CONCRETO - FORNECIMENTO E INSTALAÇÃO</t>
  </si>
  <si>
    <t>19</t>
  </si>
  <si>
    <t>INSTALAÇÕES HIDRÁULICAS</t>
  </si>
  <si>
    <t>19.1</t>
  </si>
  <si>
    <t>89356</t>
  </si>
  <si>
    <t>TUBO, PVC, SOLDÁVEL, DE 25MM, INSTALADO EM RAMAL OU SUB-RAMAL DE ÁGUA - FORNECIMENTO E INSTALAÇÃO. AF_06/2022</t>
  </si>
  <si>
    <t>19.2</t>
  </si>
  <si>
    <t>89357</t>
  </si>
  <si>
    <t>TUBO, PVC, SOLDÁVEL, DE 32MM, INSTALADO EM RAMAL OU SUB-RAMAL DE ÁGUA - FORNECIMENTO E INSTALAÇÃO. AF_06/2022</t>
  </si>
  <si>
    <t>19.3</t>
  </si>
  <si>
    <t>89362</t>
  </si>
  <si>
    <t>JOELHO 90 GRAUS, PVC, SOLDÁVEL, DN 25MM, INSTALADO EM RAMAL OU SUB-RAMAL DE ÁGUA - FORNECIMENTO E INSTALAÇÃO. AF_06/2022</t>
  </si>
  <si>
    <t>19.4</t>
  </si>
  <si>
    <t>89366</t>
  </si>
  <si>
    <t>JOELHO 90 GRAUS COM BUCHA DE LATÃO, PVC, SOLDÁVEL, DN 25MM, X 3/4 INSTALADO EM RAMAL OU SUB-RAMAL DE ÁGUA - FORNECIMENTO E INSTALAÇÃO. AF_06/2022</t>
  </si>
  <si>
    <t>19.5</t>
  </si>
  <si>
    <t>89364</t>
  </si>
  <si>
    <t>CURVA 90 GRAUS, PVC, SOLDÁVEL, DN 25MM, INSTALADO EM RAMAL OU SUB-RAMAL DE ÁGUA - FORNECIMENTO E INSTALAÇÃO. AF_06/2022</t>
  </si>
  <si>
    <t>19.6</t>
  </si>
  <si>
    <t>89400</t>
  </si>
  <si>
    <t>TÊ DE REDUÇÃO, PVC, SOLDÁVEL, DN 32MM X 25MM, INSTALADO EM RAMAL OU SUB-RAMAL DE ÁGUA - FORNECIMENTO E INSTALAÇÃO. AF_06/2022</t>
  </si>
  <si>
    <t>19.7</t>
  </si>
  <si>
    <t>89380</t>
  </si>
  <si>
    <t>LUVA DE REDUÇÃO, PVC, SOLDÁVEL, DN 32MM X 25MM, INSTALADO EM RAMAL OU SUB-RAMAL DE ÁGUA - FORNECIMENTO E INSTALAÇÃO. AF_06/2022</t>
  </si>
  <si>
    <t>19.8</t>
  </si>
  <si>
    <t>86913</t>
  </si>
  <si>
    <t>TORNEIRA CROMADA 1/2" OU 3/4" PARA TANQUE, PADRÃO POPULAR - FORNECIMENTO E INSTALAÇÃO. AF_01/2020</t>
  </si>
  <si>
    <t>20</t>
  </si>
  <si>
    <t>DRENAGEM</t>
  </si>
  <si>
    <t>20.1</t>
  </si>
  <si>
    <t>89512</t>
  </si>
  <si>
    <t>TUBO PVC, SÉRIE R, ÁGUA PLUVIAL, DN 100 MM, FORNECIDO E INSTALADO EM RAMAL DE ENCAMINHAMENTO. AF_06/2022</t>
  </si>
  <si>
    <t>20.2</t>
  </si>
  <si>
    <t>102711</t>
  </si>
  <si>
    <t>JUNÇÃO DUPLA DE PVC, SÉRIE NORMAL, PARA ESGOTO PREDIAL, DN 100 X 100 X 100 MM, INSTALADA EM DRENO - FORNECIMENTO E INSTALAÇÃO. AF_07/2021</t>
  </si>
  <si>
    <t>20.3</t>
  </si>
  <si>
    <t>C009</t>
  </si>
  <si>
    <t>CAIXA ENTERRADA RETANGULAR, EM ALVENARIA COM BLOCOS DE CONCRETO, TAMPA EM CONCRETO COM GRELHA, DIMENSÕES INTERNAS: 0,8X0,6X0,5 M PARA REDE DE DRENAGEM</t>
  </si>
  <si>
    <t>20.4</t>
  </si>
  <si>
    <t>C010</t>
  </si>
  <si>
    <t>DRENO ESPINHA DE PEIXE (SEÇÃO 0,40 X 0,20 M), COM TUBO DE PEAD CORRUGADO PERFURADO, DN 100 MM, ENCHIMENTO COM BRITA, ENVOLVIDO COM MANTA GEOTÊXTIL, INCLUSIVE CONEXÕES</t>
  </si>
  <si>
    <t>21</t>
  </si>
  <si>
    <t>SERVIÇOS COMPLEMENTARES</t>
  </si>
  <si>
    <t>21.1</t>
  </si>
  <si>
    <t>100984</t>
  </si>
  <si>
    <t>CARGA, MANOBRA E DESCARGA DE ENTULHO EM CAMINHÃO BASCULANTE 18 M³ - CARGA COM ESCAVADEIRA HIDRÁULICA (CAÇAMBA DE 0,80 M³ / 111 HP) E DESCARGA LIVRE (UNIDADE: M3). AF_07/2020</t>
  </si>
  <si>
    <t>21.2</t>
  </si>
  <si>
    <t>95877</t>
  </si>
  <si>
    <t>TRANSPORTE COM CAMINHÃO BASCULANTE DE 18 M³, EM VIA URBANA PAVIMENTADA, DMT ATÉ 30 KM (UNIDADE: M3XKM). AF_07/2020</t>
  </si>
  <si>
    <t>M3XKM</t>
  </si>
  <si>
    <t>Total:</t>
  </si>
  <si>
    <t>Número</t>
  </si>
  <si>
    <t>Parcela</t>
  </si>
  <si>
    <t>Percentual Parcela</t>
  </si>
  <si>
    <t>UND</t>
  </si>
  <si>
    <t xml:space="preserve">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</si>
</sst>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_-&quot;R$ &quot;* #,##0.00_-;&quot;-R$ &quot;* #,##0.00_-;_-&quot;R$ &quot;* \-??_-;_-@_-"/>
  </numFmts>
  <fonts count="6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bgColor indexed="4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5" fontId="3" fillId="0" borderId="0" applyFill="0" applyBorder="0" applyAlignment="0" applyProtection="0"/>
    <xf numFmtId="9" fontId="3" fillId="0" borderId="0" applyFill="0" applyBorder="0" applyAlignment="0" applyProtection="0"/>
    <xf numFmtId="0" fontId="1" fillId="0" borderId="0"/>
    <xf numFmtId="0" fontId="5" fillId="0" borderId="0"/>
  </cellStyleXfs>
  <cellXfs count="27">
    <xf numFmtId="0" fontId="0" fillId="0" borderId="0" xfId="0"/>
    <xf numFmtId="0" fontId="2" fillId="2" borderId="0" xfId="3" applyFont="1" applyFill="1" applyAlignment="1">
      <alignment horizontal="center"/>
    </xf>
    <xf numFmtId="0" fontId="1" fillId="0" borderId="0" xfId="3"/>
    <xf numFmtId="49" fontId="3" fillId="0" borderId="1" xfId="3" applyNumberFormat="1" applyFont="1" applyBorder="1" applyAlignment="1">
      <alignment horizontal="center" vertical="center" wrapText="1"/>
    </xf>
    <xf numFmtId="49" fontId="3" fillId="0" borderId="1" xfId="3" quotePrefix="1" applyNumberFormat="1" applyFont="1" applyBorder="1" applyAlignment="1">
      <alignment horizontal="center" vertical="center" wrapText="1"/>
    </xf>
    <xf numFmtId="4" fontId="3" fillId="3" borderId="1" xfId="3" applyNumberFormat="1" applyFont="1" applyFill="1" applyBorder="1" applyAlignment="1">
      <alignment horizontal="center" vertical="center"/>
    </xf>
    <xf numFmtId="164" fontId="3" fillId="0" borderId="1" xfId="3" applyNumberFormat="1" applyFont="1" applyBorder="1" applyAlignment="1">
      <alignment horizontal="center" vertical="center"/>
    </xf>
    <xf numFmtId="10" fontId="3" fillId="0" borderId="1" xfId="2" applyNumberFormat="1" applyBorder="1" applyAlignment="1">
      <alignment horizontal="center" vertical="center"/>
    </xf>
    <xf numFmtId="164" fontId="3" fillId="3" borderId="1" xfId="3" applyNumberFormat="1" applyFont="1" applyFill="1" applyBorder="1" applyAlignment="1">
      <alignment horizontal="center" vertical="center"/>
    </xf>
    <xf numFmtId="1" fontId="3" fillId="0" borderId="1" xfId="3" applyNumberFormat="1" applyFont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center" vertical="center"/>
    </xf>
    <xf numFmtId="49" fontId="1" fillId="0" borderId="0" xfId="3" applyNumberFormat="1"/>
    <xf numFmtId="0" fontId="1" fillId="0" borderId="0" xfId="3" applyAlignment="1">
      <alignment horizontal="right"/>
    </xf>
    <xf numFmtId="165" fontId="3" fillId="4" borderId="1" xfId="1" applyFill="1" applyBorder="1"/>
    <xf numFmtId="0" fontId="3" fillId="0" borderId="2" xfId="3" applyFont="1" applyBorder="1" applyAlignment="1">
      <alignment horizontal="center" vertical="center" wrapText="1"/>
    </xf>
    <xf numFmtId="2" fontId="3" fillId="0" borderId="2" xfId="3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3" applyAlignment="1">
      <alignment wrapText="1"/>
    </xf>
    <xf numFmtId="0" fontId="2" fillId="2" borderId="0" xfId="3" applyFont="1" applyFill="1" applyAlignment="1">
      <alignment horizontal="center" vertical="center" wrapText="1"/>
    </xf>
    <xf numFmtId="49" fontId="2" fillId="2" borderId="0" xfId="3" applyNumberFormat="1" applyFont="1" applyFill="1" applyAlignment="1">
      <alignment horizontal="center" vertical="center" wrapText="1"/>
    </xf>
    <xf numFmtId="49" fontId="3" fillId="0" borderId="1" xfId="3" applyNumberFormat="1" applyFont="1" applyBorder="1" applyAlignment="1">
      <alignment horizontal="left" vertical="center" wrapText="1"/>
    </xf>
    <xf numFmtId="0" fontId="1" fillId="0" borderId="0" xfId="3" applyAlignment="1">
      <alignment horizontal="center"/>
    </xf>
    <xf numFmtId="0" fontId="1" fillId="0" borderId="7" xfId="3" applyBorder="1" applyAlignment="1">
      <alignment horizontal="center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</cellXfs>
  <cellStyles count="5">
    <cellStyle name="Moeda" xfId="1" builtinId="4"/>
    <cellStyle name="Normal" xfId="0" builtinId="0"/>
    <cellStyle name="Normal 2" xfId="4" xr:uid="{00000000-0005-0000-0000-000030000000}"/>
    <cellStyle name="Normal 4" xfId="3" xr:uid="{C7A39A91-A02E-4818-A995-F14C6608743D}"/>
    <cellStyle name="Porcentagem" xfId="2" builtinId="5"/>
  </cellStyles>
  <dxfs count="46"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342F-CA42-4C5A-98B5-7A8B20B40E7B}">
  <sheetPr codeName="Planilha3">
    <pageSetUpPr fitToPage="1"/>
  </sheetPr>
  <dimension ref="A1:Q135"/>
  <sheetViews>
    <sheetView tabSelected="1" zoomScale="86" zoomScaleNormal="86" workbookViewId="0">
      <pane ySplit="1" topLeftCell="A123" activePane="bottomLeft" state="frozen"/>
      <selection activeCell="K1" sqref="K1"/>
      <selection pane="bottomLeft" activeCell="S126" sqref="S126"/>
    </sheetView>
  </sheetViews>
  <sheetFormatPr defaultColWidth="9.125" defaultRowHeight="14.25"/>
  <cols>
    <col min="1" max="2" width="12.625" style="2" customWidth="1"/>
    <col min="3" max="3" width="10.625" style="2" customWidth="1"/>
    <col min="4" max="4" width="10.625" style="11" customWidth="1"/>
    <col min="5" max="5" width="30.625" style="2" customWidth="1"/>
    <col min="6" max="6" width="10.625" style="2" customWidth="1"/>
    <col min="7" max="7" width="5.625" style="2" customWidth="1"/>
    <col min="8" max="9" width="12.625" style="2" customWidth="1"/>
    <col min="10" max="10" width="10.625" style="2" customWidth="1"/>
    <col min="11" max="12" width="15.625" style="2" customWidth="1"/>
    <col min="13" max="14" width="10.625" style="2" customWidth="1"/>
    <col min="15" max="17" width="15.625" style="2" customWidth="1"/>
    <col min="18" max="16384" width="9.125" style="2"/>
  </cols>
  <sheetData>
    <row r="1" spans="1:17" s="18" customFormat="1" ht="39.950000000000003" customHeight="1">
      <c r="A1" s="19" t="s">
        <v>0</v>
      </c>
      <c r="B1" s="19" t="s">
        <v>1</v>
      </c>
      <c r="C1" s="19" t="s">
        <v>2</v>
      </c>
      <c r="D1" s="20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</row>
    <row r="2" spans="1:17" ht="39.950000000000003" customHeight="1">
      <c r="A2" s="3" t="s">
        <v>17</v>
      </c>
      <c r="B2" s="4" t="s">
        <v>18</v>
      </c>
      <c r="C2" s="3"/>
      <c r="D2" s="3"/>
      <c r="E2" s="21" t="s">
        <v>19</v>
      </c>
      <c r="F2" s="5"/>
      <c r="G2" s="3"/>
      <c r="H2" s="6"/>
      <c r="I2" s="6"/>
      <c r="J2" s="7"/>
      <c r="K2" s="8"/>
      <c r="L2" s="8">
        <f>SUM(L3:L6)</f>
        <v>12200.398643100001</v>
      </c>
      <c r="M2" s="3"/>
      <c r="N2" s="9"/>
      <c r="O2" s="3"/>
      <c r="P2" s="10"/>
      <c r="Q2" s="8"/>
    </row>
    <row r="3" spans="1:17" ht="80.099999999999994" customHeight="1">
      <c r="A3" s="3" t="s">
        <v>20</v>
      </c>
      <c r="B3" s="4" t="s">
        <v>21</v>
      </c>
      <c r="C3" s="3" t="s">
        <v>22</v>
      </c>
      <c r="D3" s="3" t="s">
        <v>23</v>
      </c>
      <c r="E3" s="21" t="s">
        <v>24</v>
      </c>
      <c r="F3" s="5">
        <f>26</f>
        <v>26</v>
      </c>
      <c r="G3" s="3" t="s">
        <v>25</v>
      </c>
      <c r="H3" s="6">
        <v>72.19</v>
      </c>
      <c r="I3" s="6">
        <v>72.19</v>
      </c>
      <c r="J3" s="7">
        <v>0.25030000000000002</v>
      </c>
      <c r="K3" s="8">
        <f>I3+(I3*J3)</f>
        <v>90.259157000000002</v>
      </c>
      <c r="L3" s="8">
        <f>PRODUCT(K3,F3)</f>
        <v>2346.7380819999998</v>
      </c>
      <c r="M3" s="3"/>
      <c r="N3" s="9">
        <v>1</v>
      </c>
      <c r="O3" s="3" t="s">
        <v>26</v>
      </c>
      <c r="P3" s="10">
        <v>26</v>
      </c>
      <c r="Q3" s="8">
        <f>L3</f>
        <v>2346.7380819999998</v>
      </c>
    </row>
    <row r="4" spans="1:17" ht="80.099999999999994" customHeight="1">
      <c r="A4" s="3" t="s">
        <v>20</v>
      </c>
      <c r="B4" s="4" t="s">
        <v>27</v>
      </c>
      <c r="C4" s="3" t="s">
        <v>22</v>
      </c>
      <c r="D4" s="3" t="s">
        <v>28</v>
      </c>
      <c r="E4" s="21" t="s">
        <v>29</v>
      </c>
      <c r="F4" s="5">
        <f>104</f>
        <v>104</v>
      </c>
      <c r="G4" s="3" t="s">
        <v>30</v>
      </c>
      <c r="H4" s="6">
        <v>0.82</v>
      </c>
      <c r="I4" s="6">
        <v>0.82</v>
      </c>
      <c r="J4" s="7">
        <v>0.25030000000000002</v>
      </c>
      <c r="K4" s="8">
        <f t="shared" ref="K4:K67" si="0">I4+(I4*J4)</f>
        <v>1.0252459999999999</v>
      </c>
      <c r="L4" s="8">
        <f t="shared" ref="L4:L6" si="1">PRODUCT(K4,F4)</f>
        <v>106.62558399999999</v>
      </c>
      <c r="M4" s="3"/>
      <c r="N4" s="9">
        <v>1</v>
      </c>
      <c r="O4" s="3" t="s">
        <v>26</v>
      </c>
      <c r="P4" s="10">
        <v>104</v>
      </c>
      <c r="Q4" s="8">
        <f t="shared" ref="Q4:Q67" si="2">L4</f>
        <v>106.62558399999999</v>
      </c>
    </row>
    <row r="5" spans="1:17" ht="80.099999999999994" customHeight="1">
      <c r="A5" s="3" t="s">
        <v>20</v>
      </c>
      <c r="B5" s="4" t="s">
        <v>31</v>
      </c>
      <c r="C5" s="3" t="s">
        <v>22</v>
      </c>
      <c r="D5" s="3" t="s">
        <v>32</v>
      </c>
      <c r="E5" s="21" t="s">
        <v>33</v>
      </c>
      <c r="F5" s="5">
        <f>62.4</f>
        <v>62.4</v>
      </c>
      <c r="G5" s="3" t="s">
        <v>30</v>
      </c>
      <c r="H5" s="6">
        <v>44.08</v>
      </c>
      <c r="I5" s="6">
        <v>44.08</v>
      </c>
      <c r="J5" s="7">
        <v>0.25030000000000002</v>
      </c>
      <c r="K5" s="8">
        <f t="shared" si="0"/>
        <v>55.113224000000002</v>
      </c>
      <c r="L5" s="8">
        <f t="shared" si="1"/>
        <v>3439.0651776</v>
      </c>
      <c r="M5" s="3"/>
      <c r="N5" s="9">
        <v>1</v>
      </c>
      <c r="O5" s="3" t="s">
        <v>26</v>
      </c>
      <c r="P5" s="10">
        <v>62.4</v>
      </c>
      <c r="Q5" s="8">
        <f t="shared" si="2"/>
        <v>3439.0651776</v>
      </c>
    </row>
    <row r="6" spans="1:17" ht="80.099999999999994" customHeight="1">
      <c r="A6" s="3" t="s">
        <v>20</v>
      </c>
      <c r="B6" s="4" t="s">
        <v>34</v>
      </c>
      <c r="C6" s="3" t="s">
        <v>22</v>
      </c>
      <c r="D6" s="3" t="s">
        <v>35</v>
      </c>
      <c r="E6" s="21" t="s">
        <v>36</v>
      </c>
      <c r="F6" s="5">
        <f>43.7</f>
        <v>43.7</v>
      </c>
      <c r="G6" s="3" t="s">
        <v>30</v>
      </c>
      <c r="H6" s="6">
        <v>115.45</v>
      </c>
      <c r="I6" s="6">
        <v>115.45</v>
      </c>
      <c r="J6" s="7">
        <v>0.25030000000000002</v>
      </c>
      <c r="K6" s="8">
        <f t="shared" si="0"/>
        <v>144.34713500000001</v>
      </c>
      <c r="L6" s="8">
        <f t="shared" si="1"/>
        <v>6307.9697995000006</v>
      </c>
      <c r="M6" s="3"/>
      <c r="N6" s="9">
        <v>1</v>
      </c>
      <c r="O6" s="3" t="s">
        <v>26</v>
      </c>
      <c r="P6" s="10">
        <v>43.7</v>
      </c>
      <c r="Q6" s="8">
        <f t="shared" si="2"/>
        <v>6307.9697995000006</v>
      </c>
    </row>
    <row r="7" spans="1:17" ht="39.950000000000003" customHeight="1">
      <c r="A7" s="3" t="s">
        <v>17</v>
      </c>
      <c r="B7" s="4" t="s">
        <v>37</v>
      </c>
      <c r="C7" s="3"/>
      <c r="D7" s="3"/>
      <c r="E7" s="21" t="s">
        <v>38</v>
      </c>
      <c r="F7" s="5"/>
      <c r="G7" s="3"/>
      <c r="H7" s="6"/>
      <c r="I7" s="6"/>
      <c r="J7" s="7"/>
      <c r="K7" s="8"/>
      <c r="L7" s="8">
        <f>SUM(L8:L14)</f>
        <v>397514.09649183997</v>
      </c>
      <c r="M7" s="3"/>
      <c r="N7" s="9"/>
      <c r="O7" s="3"/>
      <c r="P7" s="10"/>
      <c r="Q7" s="8"/>
    </row>
    <row r="8" spans="1:17" ht="80.099999999999994" customHeight="1">
      <c r="A8" s="3" t="s">
        <v>20</v>
      </c>
      <c r="B8" s="4" t="s">
        <v>39</v>
      </c>
      <c r="C8" s="3" t="s">
        <v>22</v>
      </c>
      <c r="D8" s="3" t="s">
        <v>40</v>
      </c>
      <c r="E8" s="21" t="s">
        <v>41</v>
      </c>
      <c r="F8" s="5">
        <f>1450</f>
        <v>1450</v>
      </c>
      <c r="G8" s="3" t="s">
        <v>30</v>
      </c>
      <c r="H8" s="6">
        <v>3.12</v>
      </c>
      <c r="I8" s="6">
        <v>3.12</v>
      </c>
      <c r="J8" s="7">
        <v>0.25030000000000002</v>
      </c>
      <c r="K8" s="8">
        <f t="shared" si="0"/>
        <v>3.9009360000000002</v>
      </c>
      <c r="L8" s="8">
        <f>PRODUCT(K8,F8)</f>
        <v>5656.3572000000004</v>
      </c>
      <c r="M8" s="3"/>
      <c r="N8" s="9">
        <v>1</v>
      </c>
      <c r="O8" s="3" t="s">
        <v>26</v>
      </c>
      <c r="P8" s="10">
        <v>1450</v>
      </c>
      <c r="Q8" s="8">
        <f t="shared" si="2"/>
        <v>5656.3572000000004</v>
      </c>
    </row>
    <row r="9" spans="1:17" ht="80.099999999999994" customHeight="1">
      <c r="A9" s="3" t="s">
        <v>20</v>
      </c>
      <c r="B9" s="4" t="s">
        <v>42</v>
      </c>
      <c r="C9" s="3" t="s">
        <v>43</v>
      </c>
      <c r="D9" s="3" t="s">
        <v>44</v>
      </c>
      <c r="E9" s="21" t="s">
        <v>45</v>
      </c>
      <c r="F9" s="5">
        <f>140</f>
        <v>140</v>
      </c>
      <c r="G9" s="16" t="s">
        <v>25</v>
      </c>
      <c r="H9" s="6">
        <v>234.82</v>
      </c>
      <c r="I9" s="6">
        <v>234.82</v>
      </c>
      <c r="J9" s="7">
        <v>0.25030000000000002</v>
      </c>
      <c r="K9" s="8">
        <f t="shared" si="0"/>
        <v>293.59544599999998</v>
      </c>
      <c r="L9" s="8">
        <f t="shared" ref="L9:L85" si="3">PRODUCT(K9,F9)</f>
        <v>41103.362439999997</v>
      </c>
      <c r="M9" s="3"/>
      <c r="N9" s="9">
        <v>1</v>
      </c>
      <c r="O9" s="3" t="s">
        <v>26</v>
      </c>
      <c r="P9" s="10">
        <v>140</v>
      </c>
      <c r="Q9" s="8">
        <f t="shared" si="2"/>
        <v>41103.362439999997</v>
      </c>
    </row>
    <row r="10" spans="1:17" ht="80.099999999999994" customHeight="1">
      <c r="A10" s="3" t="s">
        <v>20</v>
      </c>
      <c r="B10" s="4" t="s">
        <v>47</v>
      </c>
      <c r="C10" s="3" t="s">
        <v>43</v>
      </c>
      <c r="D10" s="3" t="s">
        <v>48</v>
      </c>
      <c r="E10" s="21" t="s">
        <v>49</v>
      </c>
      <c r="F10" s="5">
        <f>70</f>
        <v>70</v>
      </c>
      <c r="G10" s="16" t="s">
        <v>25</v>
      </c>
      <c r="H10" s="6">
        <v>271.77999999999997</v>
      </c>
      <c r="I10" s="6">
        <v>271.77999999999997</v>
      </c>
      <c r="J10" s="7">
        <v>0.25030000000000002</v>
      </c>
      <c r="K10" s="8">
        <f t="shared" si="0"/>
        <v>339.80653399999994</v>
      </c>
      <c r="L10" s="8">
        <f t="shared" si="3"/>
        <v>23786.457379999996</v>
      </c>
      <c r="M10" s="3"/>
      <c r="N10" s="9">
        <v>1</v>
      </c>
      <c r="O10" s="3" t="s">
        <v>26</v>
      </c>
      <c r="P10" s="10">
        <v>70</v>
      </c>
      <c r="Q10" s="8">
        <f t="shared" si="2"/>
        <v>23786.457379999996</v>
      </c>
    </row>
    <row r="11" spans="1:17" ht="80.099999999999994" customHeight="1">
      <c r="A11" s="3" t="s">
        <v>20</v>
      </c>
      <c r="B11" s="4" t="s">
        <v>50</v>
      </c>
      <c r="C11" s="3" t="s">
        <v>43</v>
      </c>
      <c r="D11" s="3" t="s">
        <v>51</v>
      </c>
      <c r="E11" s="21" t="s">
        <v>52</v>
      </c>
      <c r="F11" s="5">
        <f>70</f>
        <v>70</v>
      </c>
      <c r="G11" s="16" t="s">
        <v>25</v>
      </c>
      <c r="H11" s="6">
        <v>271.77999999999997</v>
      </c>
      <c r="I11" s="6">
        <v>271.77999999999997</v>
      </c>
      <c r="J11" s="7">
        <v>0.25030000000000002</v>
      </c>
      <c r="K11" s="8">
        <f t="shared" si="0"/>
        <v>339.80653399999994</v>
      </c>
      <c r="L11" s="8">
        <f t="shared" si="3"/>
        <v>23786.457379999996</v>
      </c>
      <c r="M11" s="3"/>
      <c r="N11" s="9">
        <v>1</v>
      </c>
      <c r="O11" s="3" t="s">
        <v>26</v>
      </c>
      <c r="P11" s="10">
        <v>70</v>
      </c>
      <c r="Q11" s="8">
        <f t="shared" si="2"/>
        <v>23786.457379999996</v>
      </c>
    </row>
    <row r="12" spans="1:17" ht="80.099999999999994" customHeight="1">
      <c r="A12" s="3" t="s">
        <v>20</v>
      </c>
      <c r="B12" s="4" t="s">
        <v>53</v>
      </c>
      <c r="C12" s="3" t="s">
        <v>43</v>
      </c>
      <c r="D12" s="3" t="s">
        <v>54</v>
      </c>
      <c r="E12" s="21" t="s">
        <v>55</v>
      </c>
      <c r="F12" s="5">
        <f>1400</f>
        <v>1400</v>
      </c>
      <c r="G12" s="16" t="s">
        <v>30</v>
      </c>
      <c r="H12" s="6">
        <v>169.73</v>
      </c>
      <c r="I12" s="6">
        <v>169.73</v>
      </c>
      <c r="J12" s="7">
        <v>0.25030000000000002</v>
      </c>
      <c r="K12" s="8">
        <f t="shared" si="0"/>
        <v>212.21341899999999</v>
      </c>
      <c r="L12" s="8">
        <f>PRODUCT(K12,F12)</f>
        <v>297098.78659999999</v>
      </c>
      <c r="M12" s="3"/>
      <c r="N12" s="9">
        <v>1</v>
      </c>
      <c r="O12" s="3" t="s">
        <v>26</v>
      </c>
      <c r="P12" s="10">
        <v>1400</v>
      </c>
      <c r="Q12" s="8">
        <f t="shared" si="2"/>
        <v>297098.78659999999</v>
      </c>
    </row>
    <row r="13" spans="1:17" ht="80.099999999999994" customHeight="1">
      <c r="A13" s="3" t="s">
        <v>20</v>
      </c>
      <c r="B13" s="4" t="s">
        <v>56</v>
      </c>
      <c r="C13" s="3" t="s">
        <v>22</v>
      </c>
      <c r="D13" s="3" t="s">
        <v>32</v>
      </c>
      <c r="E13" s="21" t="s">
        <v>33</v>
      </c>
      <c r="F13" s="5">
        <f>50.01</f>
        <v>50.01</v>
      </c>
      <c r="G13" s="3" t="s">
        <v>30</v>
      </c>
      <c r="H13" s="6">
        <v>44.08</v>
      </c>
      <c r="I13" s="6">
        <v>44.08</v>
      </c>
      <c r="J13" s="7">
        <v>0.25030000000000002</v>
      </c>
      <c r="K13" s="8">
        <f t="shared" si="0"/>
        <v>55.113224000000002</v>
      </c>
      <c r="L13" s="8">
        <f t="shared" si="3"/>
        <v>2756.2123322399998</v>
      </c>
      <c r="M13" s="3"/>
      <c r="N13" s="9">
        <v>1</v>
      </c>
      <c r="O13" s="3" t="s">
        <v>26</v>
      </c>
      <c r="P13" s="10">
        <v>50.01</v>
      </c>
      <c r="Q13" s="8">
        <f t="shared" si="2"/>
        <v>2756.2123322399998</v>
      </c>
    </row>
    <row r="14" spans="1:17" ht="80.099999999999994" customHeight="1">
      <c r="A14" s="3" t="s">
        <v>20</v>
      </c>
      <c r="B14" s="4" t="s">
        <v>57</v>
      </c>
      <c r="C14" s="3" t="s">
        <v>43</v>
      </c>
      <c r="D14" s="3" t="s">
        <v>58</v>
      </c>
      <c r="E14" s="21" t="s">
        <v>59</v>
      </c>
      <c r="F14" s="5">
        <f>50.01</f>
        <v>50.01</v>
      </c>
      <c r="G14" s="3" t="s">
        <v>170</v>
      </c>
      <c r="H14" s="6">
        <v>53.2</v>
      </c>
      <c r="I14" s="6">
        <v>53.2</v>
      </c>
      <c r="J14" s="7">
        <v>0.25030000000000002</v>
      </c>
      <c r="K14" s="8">
        <f t="shared" si="0"/>
        <v>66.515960000000007</v>
      </c>
      <c r="L14" s="8">
        <f t="shared" si="3"/>
        <v>3326.4631596000004</v>
      </c>
      <c r="M14" s="3"/>
      <c r="N14" s="9">
        <v>1</v>
      </c>
      <c r="O14" s="3" t="s">
        <v>26</v>
      </c>
      <c r="P14" s="10">
        <v>50.01</v>
      </c>
      <c r="Q14" s="8">
        <f t="shared" si="2"/>
        <v>3326.4631596000004</v>
      </c>
    </row>
    <row r="15" spans="1:17" ht="39.950000000000003" customHeight="1">
      <c r="A15" s="3" t="s">
        <v>17</v>
      </c>
      <c r="B15" s="4" t="s">
        <v>60</v>
      </c>
      <c r="C15" s="3"/>
      <c r="D15" s="3"/>
      <c r="E15" s="21" t="s">
        <v>61</v>
      </c>
      <c r="F15" s="5"/>
      <c r="G15" s="3"/>
      <c r="H15" s="6"/>
      <c r="I15" s="6"/>
      <c r="J15" s="7"/>
      <c r="K15" s="8"/>
      <c r="L15" s="8">
        <f>SUM(L16:L20)</f>
        <v>39959.602378449999</v>
      </c>
      <c r="M15" s="3"/>
      <c r="N15" s="9"/>
      <c r="O15" s="3"/>
      <c r="P15" s="10"/>
      <c r="Q15" s="8"/>
    </row>
    <row r="16" spans="1:17" ht="80.099999999999994" customHeight="1">
      <c r="A16" s="3" t="s">
        <v>20</v>
      </c>
      <c r="B16" s="4" t="s">
        <v>62</v>
      </c>
      <c r="C16" s="3" t="s">
        <v>22</v>
      </c>
      <c r="D16" s="3" t="s">
        <v>63</v>
      </c>
      <c r="E16" s="21" t="s">
        <v>64</v>
      </c>
      <c r="F16" s="5">
        <f>79.3</f>
        <v>79.3</v>
      </c>
      <c r="G16" s="3" t="s">
        <v>30</v>
      </c>
      <c r="H16" s="6">
        <v>111.26</v>
      </c>
      <c r="I16" s="6">
        <v>111.26</v>
      </c>
      <c r="J16" s="7">
        <v>0.25030000000000002</v>
      </c>
      <c r="K16" s="8">
        <f t="shared" si="0"/>
        <v>139.10837800000002</v>
      </c>
      <c r="L16" s="8">
        <f t="shared" si="3"/>
        <v>11031.294375400001</v>
      </c>
      <c r="M16" s="3"/>
      <c r="N16" s="9">
        <v>1</v>
      </c>
      <c r="O16" s="3" t="s">
        <v>26</v>
      </c>
      <c r="P16" s="10">
        <v>79.3</v>
      </c>
      <c r="Q16" s="8">
        <f t="shared" si="2"/>
        <v>11031.294375400001</v>
      </c>
    </row>
    <row r="17" spans="1:17" ht="80.099999999999994" customHeight="1">
      <c r="A17" s="3" t="s">
        <v>20</v>
      </c>
      <c r="B17" s="4" t="s">
        <v>65</v>
      </c>
      <c r="C17" s="3" t="s">
        <v>22</v>
      </c>
      <c r="D17" s="3" t="s">
        <v>66</v>
      </c>
      <c r="E17" s="21" t="s">
        <v>67</v>
      </c>
      <c r="F17" s="5">
        <f>122</f>
        <v>122</v>
      </c>
      <c r="G17" s="3" t="s">
        <v>68</v>
      </c>
      <c r="H17" s="6">
        <v>21.85</v>
      </c>
      <c r="I17" s="6">
        <v>21.85</v>
      </c>
      <c r="J17" s="7">
        <v>0.25030000000000002</v>
      </c>
      <c r="K17" s="8">
        <f t="shared" si="0"/>
        <v>27.319055000000002</v>
      </c>
      <c r="L17" s="8">
        <f t="shared" si="3"/>
        <v>3332.9247100000002</v>
      </c>
      <c r="M17" s="3"/>
      <c r="N17" s="9">
        <v>1</v>
      </c>
      <c r="O17" s="3" t="s">
        <v>26</v>
      </c>
      <c r="P17" s="10">
        <v>122</v>
      </c>
      <c r="Q17" s="8">
        <f t="shared" si="2"/>
        <v>3332.9247100000002</v>
      </c>
    </row>
    <row r="18" spans="1:17" ht="80.099999999999994" customHeight="1">
      <c r="A18" s="3" t="s">
        <v>20</v>
      </c>
      <c r="B18" s="4" t="s">
        <v>69</v>
      </c>
      <c r="C18" s="3" t="s">
        <v>22</v>
      </c>
      <c r="D18" s="3" t="s">
        <v>70</v>
      </c>
      <c r="E18" s="21" t="s">
        <v>71</v>
      </c>
      <c r="F18" s="5">
        <f>276</f>
        <v>276</v>
      </c>
      <c r="G18" s="3" t="s">
        <v>68</v>
      </c>
      <c r="H18" s="6">
        <v>16.920000000000002</v>
      </c>
      <c r="I18" s="6">
        <v>16.920000000000002</v>
      </c>
      <c r="J18" s="7">
        <v>0.25030000000000002</v>
      </c>
      <c r="K18" s="8">
        <f t="shared" si="0"/>
        <v>21.155076000000001</v>
      </c>
      <c r="L18" s="8">
        <f t="shared" si="3"/>
        <v>5838.8009760000004</v>
      </c>
      <c r="M18" s="3"/>
      <c r="N18" s="9">
        <v>1</v>
      </c>
      <c r="O18" s="3" t="s">
        <v>26</v>
      </c>
      <c r="P18" s="10">
        <v>276</v>
      </c>
      <c r="Q18" s="8">
        <f t="shared" si="2"/>
        <v>5838.8009760000004</v>
      </c>
    </row>
    <row r="19" spans="1:17" ht="80.099999999999994" customHeight="1">
      <c r="A19" s="3" t="s">
        <v>20</v>
      </c>
      <c r="B19" s="4" t="s">
        <v>72</v>
      </c>
      <c r="C19" s="3" t="s">
        <v>22</v>
      </c>
      <c r="D19" s="3" t="s">
        <v>73</v>
      </c>
      <c r="E19" s="21" t="s">
        <v>74</v>
      </c>
      <c r="F19" s="5">
        <f>5.95</f>
        <v>5.95</v>
      </c>
      <c r="G19" s="3" t="s">
        <v>25</v>
      </c>
      <c r="H19" s="6">
        <v>856.93</v>
      </c>
      <c r="I19" s="6">
        <v>856.93</v>
      </c>
      <c r="J19" s="7">
        <v>0.25030000000000002</v>
      </c>
      <c r="K19" s="8">
        <f t="shared" si="0"/>
        <v>1071.4195789999999</v>
      </c>
      <c r="L19" s="8">
        <f t="shared" si="3"/>
        <v>6374.9464950499996</v>
      </c>
      <c r="M19" s="3"/>
      <c r="N19" s="9">
        <v>1</v>
      </c>
      <c r="O19" s="3" t="s">
        <v>26</v>
      </c>
      <c r="P19" s="10">
        <v>5.95</v>
      </c>
      <c r="Q19" s="8">
        <f t="shared" si="2"/>
        <v>6374.9464950499996</v>
      </c>
    </row>
    <row r="20" spans="1:17" ht="80.099999999999994" customHeight="1">
      <c r="A20" s="3" t="s">
        <v>20</v>
      </c>
      <c r="B20" s="4" t="s">
        <v>75</v>
      </c>
      <c r="C20" s="3" t="s">
        <v>43</v>
      </c>
      <c r="D20" s="3" t="s">
        <v>76</v>
      </c>
      <c r="E20" s="21" t="s">
        <v>77</v>
      </c>
      <c r="F20" s="5">
        <f>58</f>
        <v>58</v>
      </c>
      <c r="G20" s="16" t="s">
        <v>170</v>
      </c>
      <c r="H20" s="6">
        <v>184.53</v>
      </c>
      <c r="I20" s="6">
        <v>184.53</v>
      </c>
      <c r="J20" s="7">
        <v>0.25030000000000002</v>
      </c>
      <c r="K20" s="8">
        <f t="shared" si="0"/>
        <v>230.717859</v>
      </c>
      <c r="L20" s="8">
        <f t="shared" si="3"/>
        <v>13381.635822</v>
      </c>
      <c r="M20" s="3"/>
      <c r="N20" s="9">
        <v>1</v>
      </c>
      <c r="O20" s="3" t="s">
        <v>26</v>
      </c>
      <c r="P20" s="10">
        <v>58</v>
      </c>
      <c r="Q20" s="8">
        <f t="shared" si="2"/>
        <v>13381.635822</v>
      </c>
    </row>
    <row r="21" spans="1:17" ht="39.950000000000003" customHeight="1">
      <c r="A21" s="3" t="s">
        <v>17</v>
      </c>
      <c r="B21" s="4" t="s">
        <v>78</v>
      </c>
      <c r="C21" s="3"/>
      <c r="D21" s="3"/>
      <c r="E21" s="21" t="s">
        <v>79</v>
      </c>
      <c r="F21" s="5"/>
      <c r="G21" s="3"/>
      <c r="H21" s="6"/>
      <c r="I21" s="6"/>
      <c r="J21" s="7"/>
      <c r="K21" s="8"/>
      <c r="L21" s="8">
        <f>SUM(L22:L23)</f>
        <v>189384.24756350002</v>
      </c>
      <c r="M21" s="3"/>
      <c r="N21" s="9"/>
      <c r="O21" s="3"/>
      <c r="P21" s="10"/>
      <c r="Q21" s="8"/>
    </row>
    <row r="22" spans="1:17" ht="80.099999999999994" customHeight="1">
      <c r="A22" s="3" t="s">
        <v>20</v>
      </c>
      <c r="B22" s="4" t="s">
        <v>80</v>
      </c>
      <c r="C22" s="3" t="s">
        <v>22</v>
      </c>
      <c r="D22" s="3" t="s">
        <v>81</v>
      </c>
      <c r="E22" s="21" t="s">
        <v>82</v>
      </c>
      <c r="F22" s="5">
        <f>79</f>
        <v>79</v>
      </c>
      <c r="G22" s="3" t="s">
        <v>30</v>
      </c>
      <c r="H22" s="6">
        <v>96.4</v>
      </c>
      <c r="I22" s="6">
        <v>96.4</v>
      </c>
      <c r="J22" s="7">
        <v>0.25030000000000002</v>
      </c>
      <c r="K22" s="8">
        <f t="shared" si="0"/>
        <v>120.52892000000001</v>
      </c>
      <c r="L22" s="8">
        <f t="shared" si="3"/>
        <v>9521.7846800000007</v>
      </c>
      <c r="M22" s="3"/>
      <c r="N22" s="9">
        <v>1</v>
      </c>
      <c r="O22" s="3" t="s">
        <v>26</v>
      </c>
      <c r="P22" s="10">
        <v>79</v>
      </c>
      <c r="Q22" s="8">
        <f t="shared" si="2"/>
        <v>9521.7846800000007</v>
      </c>
    </row>
    <row r="23" spans="1:17" ht="120" customHeight="1">
      <c r="A23" s="3" t="s">
        <v>20</v>
      </c>
      <c r="B23" s="4" t="s">
        <v>83</v>
      </c>
      <c r="C23" s="3" t="s">
        <v>22</v>
      </c>
      <c r="D23" s="3" t="s">
        <v>84</v>
      </c>
      <c r="E23" s="21" t="s">
        <v>85</v>
      </c>
      <c r="F23" s="5">
        <f>876.9</f>
        <v>876.9</v>
      </c>
      <c r="G23" s="3" t="s">
        <v>30</v>
      </c>
      <c r="H23" s="6">
        <v>164.05</v>
      </c>
      <c r="I23" s="6">
        <v>164.05</v>
      </c>
      <c r="J23" s="7">
        <v>0.25030000000000002</v>
      </c>
      <c r="K23" s="8">
        <f t="shared" si="0"/>
        <v>205.111715</v>
      </c>
      <c r="L23" s="8">
        <f t="shared" si="3"/>
        <v>179862.4628835</v>
      </c>
      <c r="M23" s="3"/>
      <c r="N23" s="9">
        <v>1</v>
      </c>
      <c r="O23" s="3" t="s">
        <v>26</v>
      </c>
      <c r="P23" s="10">
        <v>876.9</v>
      </c>
      <c r="Q23" s="8">
        <f t="shared" si="2"/>
        <v>179862.4628835</v>
      </c>
    </row>
    <row r="24" spans="1:17" ht="39.950000000000003" customHeight="1">
      <c r="A24" s="3" t="s">
        <v>17</v>
      </c>
      <c r="B24" s="4" t="s">
        <v>86</v>
      </c>
      <c r="C24" s="3"/>
      <c r="D24" s="3"/>
      <c r="E24" s="21" t="s">
        <v>87</v>
      </c>
      <c r="F24" s="5"/>
      <c r="G24" s="3"/>
      <c r="H24" s="6"/>
      <c r="I24" s="6"/>
      <c r="J24" s="7"/>
      <c r="K24" s="8"/>
      <c r="L24" s="8">
        <f>SUM(L25:L26)</f>
        <v>10179.617521999999</v>
      </c>
      <c r="M24" s="3"/>
      <c r="N24" s="9"/>
      <c r="O24" s="3"/>
      <c r="P24" s="10"/>
      <c r="Q24" s="8"/>
    </row>
    <row r="25" spans="1:17" ht="80.099999999999994" customHeight="1">
      <c r="A25" s="3" t="s">
        <v>20</v>
      </c>
      <c r="B25" s="4" t="s">
        <v>88</v>
      </c>
      <c r="C25" s="3" t="s">
        <v>22</v>
      </c>
      <c r="D25" s="3" t="s">
        <v>89</v>
      </c>
      <c r="E25" s="21" t="s">
        <v>90</v>
      </c>
      <c r="F25" s="5">
        <f>158</f>
        <v>158</v>
      </c>
      <c r="G25" s="3" t="s">
        <v>30</v>
      </c>
      <c r="H25" s="6">
        <v>5.82</v>
      </c>
      <c r="I25" s="6">
        <v>5.82</v>
      </c>
      <c r="J25" s="7">
        <v>0.25030000000000002</v>
      </c>
      <c r="K25" s="8">
        <f t="shared" si="0"/>
        <v>7.2767460000000002</v>
      </c>
      <c r="L25" s="8">
        <f t="shared" si="3"/>
        <v>1149.725868</v>
      </c>
      <c r="M25" s="3"/>
      <c r="N25" s="9">
        <v>1</v>
      </c>
      <c r="O25" s="3" t="s">
        <v>26</v>
      </c>
      <c r="P25" s="10">
        <v>158</v>
      </c>
      <c r="Q25" s="8">
        <f t="shared" si="2"/>
        <v>1149.725868</v>
      </c>
    </row>
    <row r="26" spans="1:17" ht="80.099999999999994" customHeight="1">
      <c r="A26" s="3" t="s">
        <v>20</v>
      </c>
      <c r="B26" s="4" t="s">
        <v>91</v>
      </c>
      <c r="C26" s="3" t="s">
        <v>22</v>
      </c>
      <c r="D26" s="3" t="s">
        <v>92</v>
      </c>
      <c r="E26" s="21" t="s">
        <v>93</v>
      </c>
      <c r="F26" s="5">
        <f>158</f>
        <v>158</v>
      </c>
      <c r="G26" s="3" t="s">
        <v>30</v>
      </c>
      <c r="H26" s="6">
        <v>45.71</v>
      </c>
      <c r="I26" s="6">
        <v>45.71</v>
      </c>
      <c r="J26" s="7">
        <v>0.25030000000000002</v>
      </c>
      <c r="K26" s="8">
        <f t="shared" si="0"/>
        <v>57.151212999999998</v>
      </c>
      <c r="L26" s="8">
        <f t="shared" si="3"/>
        <v>9029.8916539999991</v>
      </c>
      <c r="M26" s="3"/>
      <c r="N26" s="9">
        <v>1</v>
      </c>
      <c r="O26" s="3" t="s">
        <v>26</v>
      </c>
      <c r="P26" s="10">
        <v>158</v>
      </c>
      <c r="Q26" s="8">
        <f t="shared" si="2"/>
        <v>9029.8916539999991</v>
      </c>
    </row>
    <row r="27" spans="1:17" ht="39.950000000000003" customHeight="1">
      <c r="A27" s="3" t="s">
        <v>17</v>
      </c>
      <c r="B27" s="4" t="s">
        <v>94</v>
      </c>
      <c r="C27" s="3"/>
      <c r="D27" s="3"/>
      <c r="E27" s="21" t="s">
        <v>95</v>
      </c>
      <c r="F27" s="5"/>
      <c r="G27" s="3"/>
      <c r="H27" s="6"/>
      <c r="I27" s="6"/>
      <c r="J27" s="7"/>
      <c r="K27" s="8"/>
      <c r="L27" s="8">
        <f>SUM(L28:L29)</f>
        <v>34657.320761199997</v>
      </c>
      <c r="M27" s="3"/>
      <c r="N27" s="9"/>
      <c r="O27" s="3"/>
      <c r="P27" s="10"/>
      <c r="Q27" s="8"/>
    </row>
    <row r="28" spans="1:17" ht="80.099999999999994" customHeight="1">
      <c r="A28" s="3" t="s">
        <v>20</v>
      </c>
      <c r="B28" s="4" t="s">
        <v>96</v>
      </c>
      <c r="C28" s="3" t="s">
        <v>22</v>
      </c>
      <c r="D28" s="3" t="s">
        <v>97</v>
      </c>
      <c r="E28" s="21" t="s">
        <v>98</v>
      </c>
      <c r="F28" s="5">
        <f>158</f>
        <v>158</v>
      </c>
      <c r="G28" s="3" t="s">
        <v>30</v>
      </c>
      <c r="H28" s="6">
        <v>11.38</v>
      </c>
      <c r="I28" s="6">
        <v>11.38</v>
      </c>
      <c r="J28" s="7">
        <v>0.25030000000000002</v>
      </c>
      <c r="K28" s="8">
        <f t="shared" si="0"/>
        <v>14.228414000000001</v>
      </c>
      <c r="L28" s="8">
        <f t="shared" si="3"/>
        <v>2248.0894120000003</v>
      </c>
      <c r="M28" s="3"/>
      <c r="N28" s="9">
        <v>1</v>
      </c>
      <c r="O28" s="3" t="s">
        <v>26</v>
      </c>
      <c r="P28" s="10">
        <v>158</v>
      </c>
      <c r="Q28" s="8">
        <f t="shared" si="2"/>
        <v>2248.0894120000003</v>
      </c>
    </row>
    <row r="29" spans="1:17" ht="80.099999999999994" customHeight="1">
      <c r="A29" s="3" t="s">
        <v>20</v>
      </c>
      <c r="B29" s="4" t="s">
        <v>99</v>
      </c>
      <c r="C29" s="3" t="s">
        <v>22</v>
      </c>
      <c r="D29" s="3" t="s">
        <v>100</v>
      </c>
      <c r="E29" s="21" t="s">
        <v>101</v>
      </c>
      <c r="F29" s="5">
        <f>876.9</f>
        <v>876.9</v>
      </c>
      <c r="G29" s="3" t="s">
        <v>30</v>
      </c>
      <c r="H29" s="6">
        <v>29.56</v>
      </c>
      <c r="I29" s="6">
        <v>29.56</v>
      </c>
      <c r="J29" s="7">
        <v>0.25030000000000002</v>
      </c>
      <c r="K29" s="8">
        <f t="shared" si="0"/>
        <v>36.958867999999995</v>
      </c>
      <c r="L29" s="8">
        <f t="shared" si="3"/>
        <v>32409.231349199996</v>
      </c>
      <c r="M29" s="3"/>
      <c r="N29" s="9">
        <v>1</v>
      </c>
      <c r="O29" s="3" t="s">
        <v>26</v>
      </c>
      <c r="P29" s="10">
        <v>876.9</v>
      </c>
      <c r="Q29" s="8">
        <f t="shared" si="2"/>
        <v>32409.231349199996</v>
      </c>
    </row>
    <row r="30" spans="1:17" ht="39.950000000000003" customHeight="1">
      <c r="A30" s="3" t="s">
        <v>17</v>
      </c>
      <c r="B30" s="4" t="s">
        <v>102</v>
      </c>
      <c r="C30" s="3"/>
      <c r="D30" s="3"/>
      <c r="E30" s="21" t="s">
        <v>103</v>
      </c>
      <c r="F30" s="5"/>
      <c r="G30" s="3"/>
      <c r="H30" s="6"/>
      <c r="I30" s="6"/>
      <c r="J30" s="7"/>
      <c r="K30" s="8"/>
      <c r="L30" s="8">
        <f>SUM(L31)</f>
        <v>5370.3635780000004</v>
      </c>
      <c r="M30" s="3"/>
      <c r="N30" s="9"/>
      <c r="O30" s="3"/>
      <c r="P30" s="10"/>
      <c r="Q30" s="8"/>
    </row>
    <row r="31" spans="1:17" ht="90" customHeight="1">
      <c r="A31" s="3" t="s">
        <v>20</v>
      </c>
      <c r="B31" s="4" t="s">
        <v>104</v>
      </c>
      <c r="C31" s="3" t="s">
        <v>43</v>
      </c>
      <c r="D31" s="3" t="s">
        <v>105</v>
      </c>
      <c r="E31" s="21" t="s">
        <v>106</v>
      </c>
      <c r="F31" s="5">
        <f>1</f>
        <v>1</v>
      </c>
      <c r="G31" s="16" t="s">
        <v>340</v>
      </c>
      <c r="H31" s="6">
        <v>4295.26</v>
      </c>
      <c r="I31" s="6">
        <v>4295.26</v>
      </c>
      <c r="J31" s="7">
        <v>0.25030000000000002</v>
      </c>
      <c r="K31" s="8">
        <f t="shared" si="0"/>
        <v>5370.3635780000004</v>
      </c>
      <c r="L31" s="8">
        <f t="shared" si="3"/>
        <v>5370.3635780000004</v>
      </c>
      <c r="M31" s="3"/>
      <c r="N31" s="9">
        <v>1</v>
      </c>
      <c r="O31" s="3" t="s">
        <v>26</v>
      </c>
      <c r="P31" s="10">
        <v>1</v>
      </c>
      <c r="Q31" s="8">
        <f t="shared" si="2"/>
        <v>5370.3635780000004</v>
      </c>
    </row>
    <row r="32" spans="1:17" ht="39.950000000000003" customHeight="1">
      <c r="A32" s="3" t="s">
        <v>17</v>
      </c>
      <c r="B32" s="4" t="s">
        <v>107</v>
      </c>
      <c r="C32" s="3"/>
      <c r="D32" s="3"/>
      <c r="E32" s="21" t="s">
        <v>19</v>
      </c>
      <c r="F32" s="5"/>
      <c r="G32" s="3"/>
      <c r="H32" s="6"/>
      <c r="I32" s="6"/>
      <c r="J32" s="7"/>
      <c r="K32" s="8"/>
      <c r="L32" s="8">
        <f>SUM(L33:L36)</f>
        <v>5434.8478005000006</v>
      </c>
      <c r="M32" s="3"/>
      <c r="N32" s="9"/>
      <c r="O32" s="3"/>
      <c r="P32" s="10"/>
      <c r="Q32" s="8"/>
    </row>
    <row r="33" spans="1:17" ht="80.099999999999994" customHeight="1">
      <c r="A33" s="3" t="s">
        <v>20</v>
      </c>
      <c r="B33" s="4" t="s">
        <v>108</v>
      </c>
      <c r="C33" s="3" t="s">
        <v>22</v>
      </c>
      <c r="D33" s="3" t="s">
        <v>23</v>
      </c>
      <c r="E33" s="21" t="s">
        <v>24</v>
      </c>
      <c r="F33" s="5">
        <f>10.5</f>
        <v>10.5</v>
      </c>
      <c r="G33" s="3" t="s">
        <v>25</v>
      </c>
      <c r="H33" s="6">
        <v>72.19</v>
      </c>
      <c r="I33" s="6">
        <v>72.19</v>
      </c>
      <c r="J33" s="7">
        <v>0.25030000000000002</v>
      </c>
      <c r="K33" s="8">
        <f t="shared" si="0"/>
        <v>90.259157000000002</v>
      </c>
      <c r="L33" s="8">
        <f t="shared" si="3"/>
        <v>947.72114850000003</v>
      </c>
      <c r="M33" s="3"/>
      <c r="N33" s="9">
        <v>1</v>
      </c>
      <c r="O33" s="3" t="s">
        <v>26</v>
      </c>
      <c r="P33" s="10">
        <v>10.5</v>
      </c>
      <c r="Q33" s="8">
        <f t="shared" si="2"/>
        <v>947.72114850000003</v>
      </c>
    </row>
    <row r="34" spans="1:17" ht="80.099999999999994" customHeight="1">
      <c r="A34" s="3" t="s">
        <v>20</v>
      </c>
      <c r="B34" s="4" t="s">
        <v>109</v>
      </c>
      <c r="C34" s="3" t="s">
        <v>22</v>
      </c>
      <c r="D34" s="3" t="s">
        <v>28</v>
      </c>
      <c r="E34" s="21" t="s">
        <v>29</v>
      </c>
      <c r="F34" s="5">
        <f>30</f>
        <v>30</v>
      </c>
      <c r="G34" s="3" t="s">
        <v>30</v>
      </c>
      <c r="H34" s="6">
        <v>0.82</v>
      </c>
      <c r="I34" s="6">
        <v>0.82</v>
      </c>
      <c r="J34" s="7">
        <v>0.25030000000000002</v>
      </c>
      <c r="K34" s="8">
        <f t="shared" si="0"/>
        <v>1.0252459999999999</v>
      </c>
      <c r="L34" s="8">
        <f t="shared" si="3"/>
        <v>30.757379999999998</v>
      </c>
      <c r="M34" s="3"/>
      <c r="N34" s="9">
        <v>1</v>
      </c>
      <c r="O34" s="3" t="s">
        <v>26</v>
      </c>
      <c r="P34" s="10">
        <v>30</v>
      </c>
      <c r="Q34" s="8">
        <f t="shared" si="2"/>
        <v>30.757379999999998</v>
      </c>
    </row>
    <row r="35" spans="1:17" ht="80.099999999999994" customHeight="1">
      <c r="A35" s="3" t="s">
        <v>20</v>
      </c>
      <c r="B35" s="4" t="s">
        <v>110</v>
      </c>
      <c r="C35" s="3" t="s">
        <v>22</v>
      </c>
      <c r="D35" s="3" t="s">
        <v>32</v>
      </c>
      <c r="E35" s="21" t="s">
        <v>33</v>
      </c>
      <c r="F35" s="5">
        <f>18</f>
        <v>18</v>
      </c>
      <c r="G35" s="3" t="s">
        <v>30</v>
      </c>
      <c r="H35" s="6">
        <v>44.08</v>
      </c>
      <c r="I35" s="6">
        <v>44.08</v>
      </c>
      <c r="J35" s="7">
        <v>0.25030000000000002</v>
      </c>
      <c r="K35" s="8">
        <f t="shared" si="0"/>
        <v>55.113224000000002</v>
      </c>
      <c r="L35" s="8">
        <f t="shared" si="3"/>
        <v>992.03803200000004</v>
      </c>
      <c r="M35" s="3"/>
      <c r="N35" s="9">
        <v>1</v>
      </c>
      <c r="O35" s="3" t="s">
        <v>26</v>
      </c>
      <c r="P35" s="10">
        <v>18</v>
      </c>
      <c r="Q35" s="8">
        <f t="shared" si="2"/>
        <v>992.03803200000004</v>
      </c>
    </row>
    <row r="36" spans="1:17" ht="80.099999999999994" customHeight="1">
      <c r="A36" s="3" t="s">
        <v>20</v>
      </c>
      <c r="B36" s="4" t="s">
        <v>111</v>
      </c>
      <c r="C36" s="3" t="s">
        <v>22</v>
      </c>
      <c r="D36" s="3" t="s">
        <v>35</v>
      </c>
      <c r="E36" s="21" t="s">
        <v>36</v>
      </c>
      <c r="F36" s="5">
        <f>24</f>
        <v>24</v>
      </c>
      <c r="G36" s="3" t="s">
        <v>30</v>
      </c>
      <c r="H36" s="6">
        <v>115.45</v>
      </c>
      <c r="I36" s="6">
        <v>115.45</v>
      </c>
      <c r="J36" s="7">
        <v>0.25030000000000002</v>
      </c>
      <c r="K36" s="8">
        <f t="shared" si="0"/>
        <v>144.34713500000001</v>
      </c>
      <c r="L36" s="8">
        <f t="shared" si="3"/>
        <v>3464.3312400000004</v>
      </c>
      <c r="M36" s="3"/>
      <c r="N36" s="9">
        <v>1</v>
      </c>
      <c r="O36" s="3" t="s">
        <v>26</v>
      </c>
      <c r="P36" s="10">
        <v>24</v>
      </c>
      <c r="Q36" s="8">
        <f t="shared" si="2"/>
        <v>3464.3312400000004</v>
      </c>
    </row>
    <row r="37" spans="1:17" ht="39.950000000000003" customHeight="1">
      <c r="A37" s="3" t="s">
        <v>17</v>
      </c>
      <c r="B37" s="4" t="s">
        <v>112</v>
      </c>
      <c r="C37" s="3"/>
      <c r="D37" s="3"/>
      <c r="E37" s="21" t="s">
        <v>38</v>
      </c>
      <c r="F37" s="5"/>
      <c r="G37" s="3"/>
      <c r="H37" s="6"/>
      <c r="I37" s="6"/>
      <c r="J37" s="7"/>
      <c r="K37" s="8"/>
      <c r="L37" s="8">
        <f>SUM(L38:L41)</f>
        <v>201683.727934</v>
      </c>
      <c r="M37" s="3"/>
      <c r="N37" s="9"/>
      <c r="O37" s="3"/>
      <c r="P37" s="10"/>
      <c r="Q37" s="8"/>
    </row>
    <row r="38" spans="1:17" ht="80.099999999999994" customHeight="1">
      <c r="A38" s="3" t="s">
        <v>20</v>
      </c>
      <c r="B38" s="4" t="s">
        <v>113</v>
      </c>
      <c r="C38" s="3" t="s">
        <v>22</v>
      </c>
      <c r="D38" s="3" t="s">
        <v>40</v>
      </c>
      <c r="E38" s="21" t="s">
        <v>41</v>
      </c>
      <c r="F38" s="5">
        <f>221</f>
        <v>221</v>
      </c>
      <c r="G38" s="3" t="s">
        <v>30</v>
      </c>
      <c r="H38" s="6">
        <v>3.12</v>
      </c>
      <c r="I38" s="6">
        <v>3.12</v>
      </c>
      <c r="J38" s="7">
        <v>0.25030000000000002</v>
      </c>
      <c r="K38" s="8">
        <f t="shared" si="0"/>
        <v>3.9009360000000002</v>
      </c>
      <c r="L38" s="8">
        <f t="shared" si="3"/>
        <v>862.10685599999999</v>
      </c>
      <c r="M38" s="3"/>
      <c r="N38" s="9">
        <v>1</v>
      </c>
      <c r="O38" s="3" t="s">
        <v>26</v>
      </c>
      <c r="P38" s="10">
        <v>221</v>
      </c>
      <c r="Q38" s="8">
        <f t="shared" si="2"/>
        <v>862.10685599999999</v>
      </c>
    </row>
    <row r="39" spans="1:17" ht="80.099999999999994" customHeight="1">
      <c r="A39" s="3" t="s">
        <v>20</v>
      </c>
      <c r="B39" s="4" t="s">
        <v>114</v>
      </c>
      <c r="C39" s="3" t="s">
        <v>22</v>
      </c>
      <c r="D39" s="3" t="s">
        <v>32</v>
      </c>
      <c r="E39" s="21" t="s">
        <v>33</v>
      </c>
      <c r="F39" s="5">
        <f>221</f>
        <v>221</v>
      </c>
      <c r="G39" s="3" t="s">
        <v>30</v>
      </c>
      <c r="H39" s="6">
        <v>44.08</v>
      </c>
      <c r="I39" s="6">
        <v>44.08</v>
      </c>
      <c r="J39" s="7">
        <v>0.25030000000000002</v>
      </c>
      <c r="K39" s="8">
        <f t="shared" si="0"/>
        <v>55.113224000000002</v>
      </c>
      <c r="L39" s="8">
        <f t="shared" si="3"/>
        <v>12180.022504</v>
      </c>
      <c r="M39" s="3"/>
      <c r="N39" s="9">
        <v>1</v>
      </c>
      <c r="O39" s="3" t="s">
        <v>26</v>
      </c>
      <c r="P39" s="10">
        <v>221</v>
      </c>
      <c r="Q39" s="8">
        <f t="shared" si="2"/>
        <v>12180.022504</v>
      </c>
    </row>
    <row r="40" spans="1:17" ht="80.099999999999994" customHeight="1">
      <c r="A40" s="3" t="s">
        <v>20</v>
      </c>
      <c r="B40" s="4" t="s">
        <v>115</v>
      </c>
      <c r="C40" s="3" t="s">
        <v>22</v>
      </c>
      <c r="D40" s="3" t="s">
        <v>116</v>
      </c>
      <c r="E40" s="21" t="s">
        <v>117</v>
      </c>
      <c r="F40" s="5">
        <f>221</f>
        <v>221</v>
      </c>
      <c r="G40" s="3" t="s">
        <v>30</v>
      </c>
      <c r="H40" s="6">
        <v>105.73</v>
      </c>
      <c r="I40" s="6">
        <v>105.73</v>
      </c>
      <c r="J40" s="7">
        <v>0.25030000000000002</v>
      </c>
      <c r="K40" s="8">
        <f t="shared" si="0"/>
        <v>132.194219</v>
      </c>
      <c r="L40" s="8">
        <f t="shared" si="3"/>
        <v>29214.922398999999</v>
      </c>
      <c r="M40" s="3"/>
      <c r="N40" s="9">
        <v>1</v>
      </c>
      <c r="O40" s="3" t="s">
        <v>26</v>
      </c>
      <c r="P40" s="10">
        <v>221</v>
      </c>
      <c r="Q40" s="8">
        <f t="shared" si="2"/>
        <v>29214.922398999999</v>
      </c>
    </row>
    <row r="41" spans="1:17" ht="80.099999999999994" customHeight="1">
      <c r="A41" s="3" t="s">
        <v>20</v>
      </c>
      <c r="B41" s="4" t="s">
        <v>118</v>
      </c>
      <c r="C41" s="3" t="s">
        <v>119</v>
      </c>
      <c r="D41" s="3" t="s">
        <v>120</v>
      </c>
      <c r="E41" s="21" t="s">
        <v>121</v>
      </c>
      <c r="F41" s="5">
        <f>1</f>
        <v>1</v>
      </c>
      <c r="G41" s="3" t="s">
        <v>46</v>
      </c>
      <c r="H41" s="6">
        <v>133870.75</v>
      </c>
      <c r="I41" s="6">
        <v>133870.75</v>
      </c>
      <c r="J41" s="7">
        <v>0.19089999999999999</v>
      </c>
      <c r="K41" s="8">
        <f t="shared" si="0"/>
        <v>159426.676175</v>
      </c>
      <c r="L41" s="8">
        <f t="shared" si="3"/>
        <v>159426.676175</v>
      </c>
      <c r="M41" s="3"/>
      <c r="N41" s="9">
        <v>1</v>
      </c>
      <c r="O41" s="3" t="s">
        <v>26</v>
      </c>
      <c r="P41" s="10">
        <v>1</v>
      </c>
      <c r="Q41" s="8">
        <f t="shared" si="2"/>
        <v>159426.676175</v>
      </c>
    </row>
    <row r="42" spans="1:17" ht="39.950000000000003" customHeight="1">
      <c r="A42" s="3" t="s">
        <v>17</v>
      </c>
      <c r="B42" s="4" t="s">
        <v>122</v>
      </c>
      <c r="C42" s="3"/>
      <c r="D42" s="3"/>
      <c r="E42" s="21" t="s">
        <v>103</v>
      </c>
      <c r="F42" s="5"/>
      <c r="G42" s="3"/>
      <c r="H42" s="6"/>
      <c r="I42" s="6"/>
      <c r="J42" s="7"/>
      <c r="K42" s="8"/>
      <c r="L42" s="8">
        <f>SUM(L43)</f>
        <v>4246.5189200000004</v>
      </c>
      <c r="M42" s="3"/>
      <c r="N42" s="9"/>
      <c r="O42" s="3"/>
      <c r="P42" s="10"/>
      <c r="Q42" s="8"/>
    </row>
    <row r="43" spans="1:17" ht="80.099999999999994" customHeight="1">
      <c r="A43" s="3" t="s">
        <v>20</v>
      </c>
      <c r="B43" s="4" t="s">
        <v>123</v>
      </c>
      <c r="C43" s="3" t="s">
        <v>43</v>
      </c>
      <c r="D43" s="3" t="s">
        <v>124</v>
      </c>
      <c r="E43" s="21" t="s">
        <v>125</v>
      </c>
      <c r="F43" s="5">
        <f>1</f>
        <v>1</v>
      </c>
      <c r="G43" s="3" t="s">
        <v>46</v>
      </c>
      <c r="H43" s="6">
        <v>3396.4</v>
      </c>
      <c r="I43" s="6">
        <v>3396.4</v>
      </c>
      <c r="J43" s="7">
        <v>0.25030000000000002</v>
      </c>
      <c r="K43" s="8">
        <f t="shared" si="0"/>
        <v>4246.5189200000004</v>
      </c>
      <c r="L43" s="8">
        <f t="shared" si="3"/>
        <v>4246.5189200000004</v>
      </c>
      <c r="M43" s="3"/>
      <c r="N43" s="9">
        <v>1</v>
      </c>
      <c r="O43" s="3" t="s">
        <v>26</v>
      </c>
      <c r="P43" s="10">
        <v>1</v>
      </c>
      <c r="Q43" s="8">
        <f t="shared" si="2"/>
        <v>4246.5189200000004</v>
      </c>
    </row>
    <row r="44" spans="1:17" ht="39.950000000000003" customHeight="1">
      <c r="A44" s="3" t="s">
        <v>17</v>
      </c>
      <c r="B44" s="4" t="s">
        <v>126</v>
      </c>
      <c r="C44" s="3"/>
      <c r="D44" s="3"/>
      <c r="E44" s="21" t="s">
        <v>19</v>
      </c>
      <c r="F44" s="5"/>
      <c r="G44" s="3"/>
      <c r="H44" s="6"/>
      <c r="I44" s="6"/>
      <c r="J44" s="7"/>
      <c r="K44" s="8"/>
      <c r="L44" s="8">
        <f>SUM(L45:L48)</f>
        <v>4529.0398337500001</v>
      </c>
      <c r="M44" s="3"/>
      <c r="N44" s="9"/>
      <c r="O44" s="3"/>
      <c r="P44" s="10"/>
      <c r="Q44" s="8"/>
    </row>
    <row r="45" spans="1:17" ht="80.099999999999994" customHeight="1">
      <c r="A45" s="3" t="s">
        <v>20</v>
      </c>
      <c r="B45" s="4" t="s">
        <v>127</v>
      </c>
      <c r="C45" s="3" t="s">
        <v>22</v>
      </c>
      <c r="D45" s="3" t="s">
        <v>23</v>
      </c>
      <c r="E45" s="21" t="s">
        <v>24</v>
      </c>
      <c r="F45" s="5">
        <f>8.75</f>
        <v>8.75</v>
      </c>
      <c r="G45" s="3" t="s">
        <v>25</v>
      </c>
      <c r="H45" s="6">
        <v>72.19</v>
      </c>
      <c r="I45" s="6">
        <v>72.19</v>
      </c>
      <c r="J45" s="7">
        <v>0.25030000000000002</v>
      </c>
      <c r="K45" s="8">
        <f t="shared" si="0"/>
        <v>90.259157000000002</v>
      </c>
      <c r="L45" s="8">
        <f t="shared" si="3"/>
        <v>789.76762374999998</v>
      </c>
      <c r="M45" s="3"/>
      <c r="N45" s="9">
        <v>1</v>
      </c>
      <c r="O45" s="3" t="s">
        <v>26</v>
      </c>
      <c r="P45" s="10">
        <v>8.75</v>
      </c>
      <c r="Q45" s="8">
        <f t="shared" si="2"/>
        <v>789.76762374999998</v>
      </c>
    </row>
    <row r="46" spans="1:17" ht="80.099999999999994" customHeight="1">
      <c r="A46" s="3" t="s">
        <v>20</v>
      </c>
      <c r="B46" s="4" t="s">
        <v>128</v>
      </c>
      <c r="C46" s="3" t="s">
        <v>22</v>
      </c>
      <c r="D46" s="3" t="s">
        <v>28</v>
      </c>
      <c r="E46" s="21" t="s">
        <v>29</v>
      </c>
      <c r="F46" s="5">
        <f>25</f>
        <v>25</v>
      </c>
      <c r="G46" s="3" t="s">
        <v>30</v>
      </c>
      <c r="H46" s="6">
        <v>0.82</v>
      </c>
      <c r="I46" s="6">
        <v>0.82</v>
      </c>
      <c r="J46" s="7">
        <v>0.25030000000000002</v>
      </c>
      <c r="K46" s="8">
        <f t="shared" si="0"/>
        <v>1.0252459999999999</v>
      </c>
      <c r="L46" s="8">
        <f t="shared" si="3"/>
        <v>25.631149999999998</v>
      </c>
      <c r="M46" s="3"/>
      <c r="N46" s="9">
        <v>1</v>
      </c>
      <c r="O46" s="3" t="s">
        <v>26</v>
      </c>
      <c r="P46" s="10">
        <v>25</v>
      </c>
      <c r="Q46" s="8">
        <f t="shared" si="2"/>
        <v>25.631149999999998</v>
      </c>
    </row>
    <row r="47" spans="1:17" ht="80.099999999999994" customHeight="1">
      <c r="A47" s="3" t="s">
        <v>20</v>
      </c>
      <c r="B47" s="4" t="s">
        <v>129</v>
      </c>
      <c r="C47" s="3" t="s">
        <v>22</v>
      </c>
      <c r="D47" s="3" t="s">
        <v>32</v>
      </c>
      <c r="E47" s="21" t="s">
        <v>33</v>
      </c>
      <c r="F47" s="5">
        <f>15</f>
        <v>15</v>
      </c>
      <c r="G47" s="3" t="s">
        <v>30</v>
      </c>
      <c r="H47" s="6">
        <v>44.08</v>
      </c>
      <c r="I47" s="6">
        <v>44.08</v>
      </c>
      <c r="J47" s="7">
        <v>0.25030000000000002</v>
      </c>
      <c r="K47" s="8">
        <f t="shared" si="0"/>
        <v>55.113224000000002</v>
      </c>
      <c r="L47" s="8">
        <f t="shared" si="3"/>
        <v>826.69836000000009</v>
      </c>
      <c r="M47" s="3"/>
      <c r="N47" s="9">
        <v>1</v>
      </c>
      <c r="O47" s="3" t="s">
        <v>26</v>
      </c>
      <c r="P47" s="10">
        <v>15</v>
      </c>
      <c r="Q47" s="8">
        <f t="shared" si="2"/>
        <v>826.69836000000009</v>
      </c>
    </row>
    <row r="48" spans="1:17" ht="80.099999999999994" customHeight="1">
      <c r="A48" s="3" t="s">
        <v>20</v>
      </c>
      <c r="B48" s="4" t="s">
        <v>130</v>
      </c>
      <c r="C48" s="3" t="s">
        <v>22</v>
      </c>
      <c r="D48" s="3" t="s">
        <v>35</v>
      </c>
      <c r="E48" s="21" t="s">
        <v>36</v>
      </c>
      <c r="F48" s="5">
        <f>20</f>
        <v>20</v>
      </c>
      <c r="G48" s="3" t="s">
        <v>30</v>
      </c>
      <c r="H48" s="6">
        <v>115.45</v>
      </c>
      <c r="I48" s="6">
        <v>115.45</v>
      </c>
      <c r="J48" s="7">
        <v>0.25030000000000002</v>
      </c>
      <c r="K48" s="8">
        <f t="shared" si="0"/>
        <v>144.34713500000001</v>
      </c>
      <c r="L48" s="8">
        <f t="shared" si="3"/>
        <v>2886.9427000000001</v>
      </c>
      <c r="M48" s="3"/>
      <c r="N48" s="9">
        <v>1</v>
      </c>
      <c r="O48" s="3" t="s">
        <v>26</v>
      </c>
      <c r="P48" s="10">
        <v>20</v>
      </c>
      <c r="Q48" s="8">
        <f t="shared" si="2"/>
        <v>2886.9427000000001</v>
      </c>
    </row>
    <row r="49" spans="1:17" ht="39.950000000000003" customHeight="1">
      <c r="A49" s="3" t="s">
        <v>17</v>
      </c>
      <c r="B49" s="4" t="s">
        <v>131</v>
      </c>
      <c r="C49" s="3"/>
      <c r="D49" s="3"/>
      <c r="E49" s="21" t="s">
        <v>38</v>
      </c>
      <c r="F49" s="5"/>
      <c r="G49" s="3"/>
      <c r="H49" s="6"/>
      <c r="I49" s="6"/>
      <c r="J49" s="7"/>
      <c r="K49" s="8"/>
      <c r="L49" s="8">
        <f>SUM(L50:L53)</f>
        <v>89351.789784120017</v>
      </c>
      <c r="M49" s="3"/>
      <c r="N49" s="9"/>
      <c r="O49" s="3"/>
      <c r="P49" s="10"/>
      <c r="Q49" s="8"/>
    </row>
    <row r="50" spans="1:17" ht="80.099999999999994" customHeight="1">
      <c r="A50" s="3" t="s">
        <v>20</v>
      </c>
      <c r="B50" s="4" t="s">
        <v>132</v>
      </c>
      <c r="C50" s="3" t="s">
        <v>22</v>
      </c>
      <c r="D50" s="3" t="s">
        <v>40</v>
      </c>
      <c r="E50" s="21" t="s">
        <v>41</v>
      </c>
      <c r="F50" s="5">
        <f>142.84</f>
        <v>142.84</v>
      </c>
      <c r="G50" s="3" t="s">
        <v>30</v>
      </c>
      <c r="H50" s="6">
        <v>3.12</v>
      </c>
      <c r="I50" s="6">
        <v>3.12</v>
      </c>
      <c r="J50" s="7">
        <v>0.25030000000000002</v>
      </c>
      <c r="K50" s="8">
        <f t="shared" si="0"/>
        <v>3.9009360000000002</v>
      </c>
      <c r="L50" s="8">
        <f t="shared" si="3"/>
        <v>557.20969824000008</v>
      </c>
      <c r="M50" s="3"/>
      <c r="N50" s="9">
        <v>1</v>
      </c>
      <c r="O50" s="3" t="s">
        <v>26</v>
      </c>
      <c r="P50" s="10">
        <v>142.84</v>
      </c>
      <c r="Q50" s="8">
        <f t="shared" si="2"/>
        <v>557.20969824000008</v>
      </c>
    </row>
    <row r="51" spans="1:17" ht="80.099999999999994" customHeight="1">
      <c r="A51" s="3" t="s">
        <v>20</v>
      </c>
      <c r="B51" s="4" t="s">
        <v>133</v>
      </c>
      <c r="C51" s="3" t="s">
        <v>22</v>
      </c>
      <c r="D51" s="3" t="s">
        <v>32</v>
      </c>
      <c r="E51" s="21" t="s">
        <v>33</v>
      </c>
      <c r="F51" s="5">
        <f>142.84</f>
        <v>142.84</v>
      </c>
      <c r="G51" s="3" t="s">
        <v>30</v>
      </c>
      <c r="H51" s="6">
        <v>44.08</v>
      </c>
      <c r="I51" s="6">
        <v>44.08</v>
      </c>
      <c r="J51" s="7">
        <v>0.25030000000000002</v>
      </c>
      <c r="K51" s="8">
        <f t="shared" si="0"/>
        <v>55.113224000000002</v>
      </c>
      <c r="L51" s="8">
        <f t="shared" si="3"/>
        <v>7872.3729161600004</v>
      </c>
      <c r="M51" s="3"/>
      <c r="N51" s="9">
        <v>1</v>
      </c>
      <c r="O51" s="3" t="s">
        <v>26</v>
      </c>
      <c r="P51" s="10">
        <v>142.84</v>
      </c>
      <c r="Q51" s="8">
        <f t="shared" si="2"/>
        <v>7872.3729161600004</v>
      </c>
    </row>
    <row r="52" spans="1:17" ht="80.099999999999994" customHeight="1">
      <c r="A52" s="3" t="s">
        <v>20</v>
      </c>
      <c r="B52" s="4" t="s">
        <v>134</v>
      </c>
      <c r="C52" s="3" t="s">
        <v>22</v>
      </c>
      <c r="D52" s="3" t="s">
        <v>135</v>
      </c>
      <c r="E52" s="21" t="s">
        <v>136</v>
      </c>
      <c r="F52" s="5">
        <f>142.84</f>
        <v>142.84</v>
      </c>
      <c r="G52" s="3" t="s">
        <v>30</v>
      </c>
      <c r="H52" s="6">
        <v>71.44</v>
      </c>
      <c r="I52" s="6">
        <v>71.44</v>
      </c>
      <c r="J52" s="7">
        <v>0.25030000000000002</v>
      </c>
      <c r="K52" s="8">
        <f t="shared" si="0"/>
        <v>89.321432000000001</v>
      </c>
      <c r="L52" s="8">
        <f t="shared" si="3"/>
        <v>12758.673346880001</v>
      </c>
      <c r="M52" s="3"/>
      <c r="N52" s="9">
        <v>1</v>
      </c>
      <c r="O52" s="3" t="s">
        <v>26</v>
      </c>
      <c r="P52" s="10">
        <v>142.84</v>
      </c>
      <c r="Q52" s="8">
        <f t="shared" si="2"/>
        <v>12758.673346880001</v>
      </c>
    </row>
    <row r="53" spans="1:17" ht="80.099999999999994" customHeight="1">
      <c r="A53" s="3" t="s">
        <v>20</v>
      </c>
      <c r="B53" s="4" t="s">
        <v>137</v>
      </c>
      <c r="C53" s="3" t="s">
        <v>22</v>
      </c>
      <c r="D53" s="3" t="s">
        <v>138</v>
      </c>
      <c r="E53" s="21" t="s">
        <v>139</v>
      </c>
      <c r="F53" s="5">
        <f>142.84</f>
        <v>142.84</v>
      </c>
      <c r="G53" s="3" t="s">
        <v>30</v>
      </c>
      <c r="H53" s="6">
        <v>381.67</v>
      </c>
      <c r="I53" s="6">
        <v>381.67</v>
      </c>
      <c r="J53" s="7">
        <v>0.25030000000000002</v>
      </c>
      <c r="K53" s="8">
        <f t="shared" si="0"/>
        <v>477.202001</v>
      </c>
      <c r="L53" s="8">
        <f t="shared" si="3"/>
        <v>68163.533822840007</v>
      </c>
      <c r="M53" s="3"/>
      <c r="N53" s="9">
        <v>1</v>
      </c>
      <c r="O53" s="3" t="s">
        <v>26</v>
      </c>
      <c r="P53" s="10">
        <v>142.84</v>
      </c>
      <c r="Q53" s="8">
        <f t="shared" si="2"/>
        <v>68163.533822840007</v>
      </c>
    </row>
    <row r="54" spans="1:17" ht="39.950000000000003" customHeight="1">
      <c r="A54" s="3" t="s">
        <v>17</v>
      </c>
      <c r="B54" s="4" t="s">
        <v>140</v>
      </c>
      <c r="C54" s="3"/>
      <c r="D54" s="3"/>
      <c r="E54" s="21" t="s">
        <v>103</v>
      </c>
      <c r="F54" s="5"/>
      <c r="G54" s="3"/>
      <c r="H54" s="6"/>
      <c r="I54" s="6"/>
      <c r="J54" s="7"/>
      <c r="K54" s="8"/>
      <c r="L54" s="8">
        <f>SUM(L55:L60)</f>
        <v>62491.334236000002</v>
      </c>
      <c r="M54" s="3"/>
      <c r="N54" s="9"/>
      <c r="O54" s="3"/>
      <c r="P54" s="10"/>
      <c r="Q54" s="8"/>
    </row>
    <row r="55" spans="1:17" ht="80.099999999999994" customHeight="1">
      <c r="A55" s="3" t="s">
        <v>20</v>
      </c>
      <c r="B55" s="4" t="s">
        <v>141</v>
      </c>
      <c r="C55" s="3" t="s">
        <v>43</v>
      </c>
      <c r="D55" s="3" t="s">
        <v>142</v>
      </c>
      <c r="E55" s="21" t="s">
        <v>143</v>
      </c>
      <c r="F55" s="5">
        <f>2</f>
        <v>2</v>
      </c>
      <c r="G55" s="16" t="s">
        <v>340</v>
      </c>
      <c r="H55" s="6">
        <v>5847.54</v>
      </c>
      <c r="I55" s="6">
        <v>5847.54</v>
      </c>
      <c r="J55" s="7">
        <v>0.19089999999999999</v>
      </c>
      <c r="K55" s="8">
        <f t="shared" si="0"/>
        <v>6963.8353859999997</v>
      </c>
      <c r="L55" s="8">
        <f t="shared" si="3"/>
        <v>13927.670771999999</v>
      </c>
      <c r="M55" s="3"/>
      <c r="N55" s="9">
        <v>1</v>
      </c>
      <c r="O55" s="3" t="s">
        <v>26</v>
      </c>
      <c r="P55" s="10">
        <v>2</v>
      </c>
      <c r="Q55" s="8">
        <f t="shared" si="2"/>
        <v>13927.670771999999</v>
      </c>
    </row>
    <row r="56" spans="1:17" ht="80.099999999999994" customHeight="1">
      <c r="A56" s="3" t="s">
        <v>20</v>
      </c>
      <c r="B56" s="4" t="s">
        <v>144</v>
      </c>
      <c r="C56" s="3" t="s">
        <v>43</v>
      </c>
      <c r="D56" s="3" t="s">
        <v>145</v>
      </c>
      <c r="E56" s="21" t="s">
        <v>146</v>
      </c>
      <c r="F56" s="5">
        <f>1</f>
        <v>1</v>
      </c>
      <c r="G56" s="16" t="s">
        <v>341</v>
      </c>
      <c r="H56" s="6">
        <v>3693.19</v>
      </c>
      <c r="I56" s="6">
        <v>3693.19</v>
      </c>
      <c r="J56" s="7">
        <v>0.19089999999999999</v>
      </c>
      <c r="K56" s="8">
        <f t="shared" si="0"/>
        <v>4398.2199710000004</v>
      </c>
      <c r="L56" s="8">
        <f t="shared" si="3"/>
        <v>4398.2199710000004</v>
      </c>
      <c r="M56" s="3"/>
      <c r="N56" s="9">
        <v>1</v>
      </c>
      <c r="O56" s="3" t="s">
        <v>26</v>
      </c>
      <c r="P56" s="10">
        <v>1</v>
      </c>
      <c r="Q56" s="8">
        <f t="shared" si="2"/>
        <v>4398.2199710000004</v>
      </c>
    </row>
    <row r="57" spans="1:17" ht="110.1" customHeight="1">
      <c r="A57" s="3" t="s">
        <v>20</v>
      </c>
      <c r="B57" s="4" t="s">
        <v>147</v>
      </c>
      <c r="C57" s="3" t="s">
        <v>43</v>
      </c>
      <c r="D57" s="3" t="s">
        <v>148</v>
      </c>
      <c r="E57" s="21" t="s">
        <v>149</v>
      </c>
      <c r="F57" s="5">
        <f>1</f>
        <v>1</v>
      </c>
      <c r="G57" s="16" t="s">
        <v>341</v>
      </c>
      <c r="H57" s="6">
        <v>24621.24</v>
      </c>
      <c r="I57" s="6">
        <v>24621.24</v>
      </c>
      <c r="J57" s="7">
        <v>0.19089999999999999</v>
      </c>
      <c r="K57" s="8">
        <f t="shared" si="0"/>
        <v>29321.434716000003</v>
      </c>
      <c r="L57" s="8">
        <f t="shared" si="3"/>
        <v>29321.434716000003</v>
      </c>
      <c r="M57" s="3"/>
      <c r="N57" s="9">
        <v>1</v>
      </c>
      <c r="O57" s="3" t="s">
        <v>26</v>
      </c>
      <c r="P57" s="10">
        <v>1</v>
      </c>
      <c r="Q57" s="8">
        <f t="shared" si="2"/>
        <v>29321.434716000003</v>
      </c>
    </row>
    <row r="58" spans="1:17" ht="80.099999999999994" customHeight="1">
      <c r="A58" s="3" t="s">
        <v>20</v>
      </c>
      <c r="B58" s="4" t="s">
        <v>150</v>
      </c>
      <c r="C58" s="3" t="s">
        <v>43</v>
      </c>
      <c r="D58" s="3" t="s">
        <v>151</v>
      </c>
      <c r="E58" s="21" t="s">
        <v>152</v>
      </c>
      <c r="F58" s="5">
        <f>1</f>
        <v>1</v>
      </c>
      <c r="G58" s="16" t="s">
        <v>341</v>
      </c>
      <c r="H58" s="6">
        <v>2769.89</v>
      </c>
      <c r="I58" s="6">
        <v>2769.89</v>
      </c>
      <c r="J58" s="7">
        <v>0.19089999999999999</v>
      </c>
      <c r="K58" s="8">
        <f t="shared" si="0"/>
        <v>3298.6620009999997</v>
      </c>
      <c r="L58" s="8">
        <f t="shared" si="3"/>
        <v>3298.6620009999997</v>
      </c>
      <c r="M58" s="3"/>
      <c r="N58" s="9">
        <v>1</v>
      </c>
      <c r="O58" s="3" t="s">
        <v>26</v>
      </c>
      <c r="P58" s="10">
        <v>1</v>
      </c>
      <c r="Q58" s="8">
        <f t="shared" si="2"/>
        <v>3298.6620009999997</v>
      </c>
    </row>
    <row r="59" spans="1:17" ht="80.099999999999994" customHeight="1">
      <c r="A59" s="3" t="s">
        <v>20</v>
      </c>
      <c r="B59" s="4" t="s">
        <v>153</v>
      </c>
      <c r="C59" s="3" t="s">
        <v>43</v>
      </c>
      <c r="D59" s="3" t="s">
        <v>154</v>
      </c>
      <c r="E59" s="21" t="s">
        <v>155</v>
      </c>
      <c r="F59" s="5">
        <f>6</f>
        <v>6</v>
      </c>
      <c r="G59" s="16" t="s">
        <v>341</v>
      </c>
      <c r="H59" s="6">
        <v>1461.89</v>
      </c>
      <c r="I59" s="6">
        <v>1461.89</v>
      </c>
      <c r="J59" s="7">
        <v>0.19089999999999999</v>
      </c>
      <c r="K59" s="8">
        <f t="shared" si="0"/>
        <v>1740.9648010000001</v>
      </c>
      <c r="L59" s="8">
        <f t="shared" si="3"/>
        <v>10445.788806</v>
      </c>
      <c r="M59" s="3"/>
      <c r="N59" s="9">
        <v>1</v>
      </c>
      <c r="O59" s="3" t="s">
        <v>26</v>
      </c>
      <c r="P59" s="10">
        <v>6</v>
      </c>
      <c r="Q59" s="8">
        <f t="shared" si="2"/>
        <v>10445.788806</v>
      </c>
    </row>
    <row r="60" spans="1:17" ht="80.099999999999994" customHeight="1">
      <c r="A60" s="3" t="s">
        <v>20</v>
      </c>
      <c r="B60" s="4" t="s">
        <v>156</v>
      </c>
      <c r="C60" s="3" t="s">
        <v>43</v>
      </c>
      <c r="D60" s="3" t="s">
        <v>157</v>
      </c>
      <c r="E60" s="21" t="s">
        <v>158</v>
      </c>
      <c r="F60" s="5">
        <f>1</f>
        <v>1</v>
      </c>
      <c r="G60" s="16" t="s">
        <v>341</v>
      </c>
      <c r="H60" s="6">
        <v>923.3</v>
      </c>
      <c r="I60" s="6">
        <v>923.3</v>
      </c>
      <c r="J60" s="7">
        <v>0.19089999999999999</v>
      </c>
      <c r="K60" s="8">
        <f t="shared" si="0"/>
        <v>1099.5579699999998</v>
      </c>
      <c r="L60" s="8">
        <f t="shared" si="3"/>
        <v>1099.5579699999998</v>
      </c>
      <c r="M60" s="3"/>
      <c r="N60" s="9">
        <v>1</v>
      </c>
      <c r="O60" s="3" t="s">
        <v>26</v>
      </c>
      <c r="P60" s="10">
        <v>1</v>
      </c>
      <c r="Q60" s="8">
        <f t="shared" si="2"/>
        <v>1099.5579699999998</v>
      </c>
    </row>
    <row r="61" spans="1:17" ht="39.950000000000003" customHeight="1">
      <c r="A61" s="3" t="s">
        <v>17</v>
      </c>
      <c r="B61" s="4" t="s">
        <v>159</v>
      </c>
      <c r="C61" s="3"/>
      <c r="D61" s="3"/>
      <c r="E61" s="21" t="s">
        <v>38</v>
      </c>
      <c r="F61" s="5"/>
      <c r="G61" s="3"/>
      <c r="H61" s="6"/>
      <c r="I61" s="6"/>
      <c r="J61" s="7"/>
      <c r="K61" s="8"/>
      <c r="L61" s="8">
        <f>SUM(L62:L64)</f>
        <v>117310.16468407999</v>
      </c>
      <c r="M61" s="3"/>
      <c r="N61" s="9"/>
      <c r="O61" s="3"/>
      <c r="P61" s="10"/>
      <c r="Q61" s="8"/>
    </row>
    <row r="62" spans="1:17" ht="80.099999999999994" customHeight="1">
      <c r="A62" s="3" t="s">
        <v>20</v>
      </c>
      <c r="B62" s="4" t="s">
        <v>160</v>
      </c>
      <c r="C62" s="3" t="s">
        <v>22</v>
      </c>
      <c r="D62" s="3" t="s">
        <v>40</v>
      </c>
      <c r="E62" s="21" t="s">
        <v>41</v>
      </c>
      <c r="F62" s="5">
        <f>613.52</f>
        <v>613.52</v>
      </c>
      <c r="G62" s="3" t="s">
        <v>30</v>
      </c>
      <c r="H62" s="6">
        <v>3.12</v>
      </c>
      <c r="I62" s="6">
        <v>3.12</v>
      </c>
      <c r="J62" s="7">
        <v>0.25030000000000002</v>
      </c>
      <c r="K62" s="8">
        <f t="shared" si="0"/>
        <v>3.9009360000000002</v>
      </c>
      <c r="L62" s="8">
        <f t="shared" si="3"/>
        <v>2393.3022547199998</v>
      </c>
      <c r="M62" s="3"/>
      <c r="N62" s="9">
        <v>1</v>
      </c>
      <c r="O62" s="3" t="s">
        <v>26</v>
      </c>
      <c r="P62" s="10">
        <v>613.52</v>
      </c>
      <c r="Q62" s="8">
        <f t="shared" si="2"/>
        <v>2393.3022547199998</v>
      </c>
    </row>
    <row r="63" spans="1:17" ht="80.099999999999994" customHeight="1">
      <c r="A63" s="3" t="s">
        <v>20</v>
      </c>
      <c r="B63" s="4" t="s">
        <v>161</v>
      </c>
      <c r="C63" s="3" t="s">
        <v>22</v>
      </c>
      <c r="D63" s="3" t="s">
        <v>32</v>
      </c>
      <c r="E63" s="21" t="s">
        <v>33</v>
      </c>
      <c r="F63" s="5">
        <f>613.52</f>
        <v>613.52</v>
      </c>
      <c r="G63" s="3" t="s">
        <v>30</v>
      </c>
      <c r="H63" s="6">
        <v>44.08</v>
      </c>
      <c r="I63" s="6">
        <v>44.08</v>
      </c>
      <c r="J63" s="7">
        <v>0.25030000000000002</v>
      </c>
      <c r="K63" s="8">
        <f t="shared" si="0"/>
        <v>55.113224000000002</v>
      </c>
      <c r="L63" s="8">
        <f t="shared" si="3"/>
        <v>33813.065188480003</v>
      </c>
      <c r="M63" s="3"/>
      <c r="N63" s="9">
        <v>1</v>
      </c>
      <c r="O63" s="3" t="s">
        <v>26</v>
      </c>
      <c r="P63" s="10">
        <v>613.52</v>
      </c>
      <c r="Q63" s="8">
        <f t="shared" si="2"/>
        <v>33813.065188480003</v>
      </c>
    </row>
    <row r="64" spans="1:17" ht="80.099999999999994" customHeight="1">
      <c r="A64" s="3" t="s">
        <v>20</v>
      </c>
      <c r="B64" s="4" t="s">
        <v>162</v>
      </c>
      <c r="C64" s="3" t="s">
        <v>22</v>
      </c>
      <c r="D64" s="3" t="s">
        <v>116</v>
      </c>
      <c r="E64" s="21" t="s">
        <v>117</v>
      </c>
      <c r="F64" s="5">
        <f>613.52</f>
        <v>613.52</v>
      </c>
      <c r="G64" s="3" t="s">
        <v>30</v>
      </c>
      <c r="H64" s="6">
        <v>105.73</v>
      </c>
      <c r="I64" s="6">
        <v>105.73</v>
      </c>
      <c r="J64" s="7">
        <v>0.25030000000000002</v>
      </c>
      <c r="K64" s="8">
        <f t="shared" si="0"/>
        <v>132.194219</v>
      </c>
      <c r="L64" s="8">
        <f t="shared" si="3"/>
        <v>81103.797240879998</v>
      </c>
      <c r="M64" s="3"/>
      <c r="N64" s="9">
        <v>1</v>
      </c>
      <c r="O64" s="3" t="s">
        <v>26</v>
      </c>
      <c r="P64" s="10">
        <v>613.52</v>
      </c>
      <c r="Q64" s="8">
        <f t="shared" si="2"/>
        <v>81103.797240879998</v>
      </c>
    </row>
    <row r="65" spans="1:17" ht="39.950000000000003" customHeight="1">
      <c r="A65" s="3" t="s">
        <v>17</v>
      </c>
      <c r="B65" s="4" t="s">
        <v>163</v>
      </c>
      <c r="C65" s="3"/>
      <c r="D65" s="3"/>
      <c r="E65" s="21" t="s">
        <v>95</v>
      </c>
      <c r="F65" s="5"/>
      <c r="G65" s="3"/>
      <c r="H65" s="6"/>
      <c r="I65" s="6"/>
      <c r="J65" s="7"/>
      <c r="K65" s="8"/>
      <c r="L65" s="8">
        <f>SUM(L66:L67)</f>
        <v>58056.378187519993</v>
      </c>
      <c r="M65" s="3"/>
      <c r="N65" s="9"/>
      <c r="O65" s="3"/>
      <c r="P65" s="10"/>
      <c r="Q65" s="8"/>
    </row>
    <row r="66" spans="1:17" ht="80.099999999999994" customHeight="1">
      <c r="A66" s="3" t="s">
        <v>20</v>
      </c>
      <c r="B66" s="4" t="s">
        <v>164</v>
      </c>
      <c r="C66" s="3" t="s">
        <v>22</v>
      </c>
      <c r="D66" s="3" t="s">
        <v>165</v>
      </c>
      <c r="E66" s="21" t="s">
        <v>166</v>
      </c>
      <c r="F66" s="5">
        <f>613.52</f>
        <v>613.52</v>
      </c>
      <c r="G66" s="3" t="s">
        <v>30</v>
      </c>
      <c r="H66" s="6">
        <v>71.36</v>
      </c>
      <c r="I66" s="6">
        <v>71.36</v>
      </c>
      <c r="J66" s="7">
        <v>0.25030000000000002</v>
      </c>
      <c r="K66" s="8">
        <f t="shared" si="0"/>
        <v>89.221407999999997</v>
      </c>
      <c r="L66" s="8">
        <f t="shared" si="3"/>
        <v>54739.118236159993</v>
      </c>
      <c r="M66" s="3"/>
      <c r="N66" s="9">
        <v>1</v>
      </c>
      <c r="O66" s="3" t="s">
        <v>26</v>
      </c>
      <c r="P66" s="10">
        <v>613.52</v>
      </c>
      <c r="Q66" s="8">
        <f t="shared" si="2"/>
        <v>54739.118236159993</v>
      </c>
    </row>
    <row r="67" spans="1:17" ht="80.099999999999994" customHeight="1">
      <c r="A67" s="3" t="s">
        <v>20</v>
      </c>
      <c r="B67" s="4" t="s">
        <v>167</v>
      </c>
      <c r="C67" s="3" t="s">
        <v>22</v>
      </c>
      <c r="D67" s="3" t="s">
        <v>168</v>
      </c>
      <c r="E67" s="21" t="s">
        <v>169</v>
      </c>
      <c r="F67" s="5">
        <f>204.72</f>
        <v>204.72</v>
      </c>
      <c r="G67" s="3" t="s">
        <v>170</v>
      </c>
      <c r="H67" s="6">
        <v>12.96</v>
      </c>
      <c r="I67" s="6">
        <v>12.96</v>
      </c>
      <c r="J67" s="7">
        <v>0.25030000000000002</v>
      </c>
      <c r="K67" s="8">
        <f t="shared" si="0"/>
        <v>16.203888000000003</v>
      </c>
      <c r="L67" s="8">
        <f t="shared" si="3"/>
        <v>3317.2599513600007</v>
      </c>
      <c r="M67" s="3"/>
      <c r="N67" s="9">
        <v>1</v>
      </c>
      <c r="O67" s="3" t="s">
        <v>26</v>
      </c>
      <c r="P67" s="10">
        <v>204.72</v>
      </c>
      <c r="Q67" s="8">
        <f t="shared" si="2"/>
        <v>3317.2599513600007</v>
      </c>
    </row>
    <row r="68" spans="1:17" ht="39.950000000000003" customHeight="1">
      <c r="A68" s="3" t="s">
        <v>17</v>
      </c>
      <c r="B68" s="4" t="s">
        <v>171</v>
      </c>
      <c r="C68" s="3"/>
      <c r="D68" s="3"/>
      <c r="E68" s="21" t="s">
        <v>38</v>
      </c>
      <c r="F68" s="5"/>
      <c r="G68" s="3"/>
      <c r="H68" s="6"/>
      <c r="I68" s="6"/>
      <c r="J68" s="7"/>
      <c r="K68" s="8"/>
      <c r="L68" s="8">
        <f>SUM(L69:L73)</f>
        <v>42307.944595350004</v>
      </c>
      <c r="M68" s="3"/>
      <c r="N68" s="9"/>
      <c r="O68" s="3"/>
      <c r="P68" s="10"/>
      <c r="Q68" s="8"/>
    </row>
    <row r="69" spans="1:17" ht="80.099999999999994" customHeight="1">
      <c r="A69" s="3" t="s">
        <v>20</v>
      </c>
      <c r="B69" s="4" t="s">
        <v>172</v>
      </c>
      <c r="C69" s="3" t="s">
        <v>22</v>
      </c>
      <c r="D69" s="3" t="s">
        <v>40</v>
      </c>
      <c r="E69" s="21" t="s">
        <v>41</v>
      </c>
      <c r="F69" s="5">
        <f>214.22</f>
        <v>214.22</v>
      </c>
      <c r="G69" s="3" t="s">
        <v>30</v>
      </c>
      <c r="H69" s="6">
        <v>3.12</v>
      </c>
      <c r="I69" s="6">
        <v>3.12</v>
      </c>
      <c r="J69" s="7">
        <v>0.25030000000000002</v>
      </c>
      <c r="K69" s="8">
        <f t="shared" ref="K69:K127" si="4">I69+(I69*J69)</f>
        <v>3.9009360000000002</v>
      </c>
      <c r="L69" s="8">
        <f t="shared" si="3"/>
        <v>835.65850992000003</v>
      </c>
      <c r="M69" s="3"/>
      <c r="N69" s="9">
        <v>1</v>
      </c>
      <c r="O69" s="3" t="s">
        <v>26</v>
      </c>
      <c r="P69" s="10">
        <v>214.22</v>
      </c>
      <c r="Q69" s="8">
        <f t="shared" ref="Q69:Q127" si="5">L69</f>
        <v>835.65850992000003</v>
      </c>
    </row>
    <row r="70" spans="1:17" ht="80.099999999999994" customHeight="1">
      <c r="A70" s="3" t="s">
        <v>20</v>
      </c>
      <c r="B70" s="4" t="s">
        <v>173</v>
      </c>
      <c r="C70" s="3" t="s">
        <v>22</v>
      </c>
      <c r="D70" s="3" t="s">
        <v>32</v>
      </c>
      <c r="E70" s="21" t="s">
        <v>33</v>
      </c>
      <c r="F70" s="5">
        <f>214.22</f>
        <v>214.22</v>
      </c>
      <c r="G70" s="3" t="s">
        <v>30</v>
      </c>
      <c r="H70" s="6">
        <v>44.08</v>
      </c>
      <c r="I70" s="6">
        <v>44.08</v>
      </c>
      <c r="J70" s="7">
        <v>0.25030000000000002</v>
      </c>
      <c r="K70" s="8">
        <f t="shared" si="4"/>
        <v>55.113224000000002</v>
      </c>
      <c r="L70" s="8">
        <f t="shared" si="3"/>
        <v>11806.354845280001</v>
      </c>
      <c r="M70" s="3"/>
      <c r="N70" s="9">
        <v>1</v>
      </c>
      <c r="O70" s="3" t="s">
        <v>26</v>
      </c>
      <c r="P70" s="10">
        <v>214.22</v>
      </c>
      <c r="Q70" s="8">
        <f t="shared" si="5"/>
        <v>11806.354845280001</v>
      </c>
    </row>
    <row r="71" spans="1:17" ht="80.099999999999994" customHeight="1">
      <c r="A71" s="3" t="s">
        <v>20</v>
      </c>
      <c r="B71" s="4" t="s">
        <v>174</v>
      </c>
      <c r="C71" s="3" t="s">
        <v>43</v>
      </c>
      <c r="D71" s="3" t="s">
        <v>58</v>
      </c>
      <c r="E71" s="21" t="s">
        <v>59</v>
      </c>
      <c r="F71" s="5">
        <f>214.22</f>
        <v>214.22</v>
      </c>
      <c r="G71" s="3" t="s">
        <v>30</v>
      </c>
      <c r="H71" s="6">
        <v>53.2</v>
      </c>
      <c r="I71" s="6">
        <v>53.2</v>
      </c>
      <c r="J71" s="7">
        <v>0.25030000000000002</v>
      </c>
      <c r="K71" s="8">
        <f t="shared" si="4"/>
        <v>66.515960000000007</v>
      </c>
      <c r="L71" s="8">
        <f t="shared" si="3"/>
        <v>14249.048951200002</v>
      </c>
      <c r="M71" s="3"/>
      <c r="N71" s="9">
        <v>1</v>
      </c>
      <c r="O71" s="3" t="s">
        <v>26</v>
      </c>
      <c r="P71" s="10">
        <v>214.22</v>
      </c>
      <c r="Q71" s="8">
        <f t="shared" si="5"/>
        <v>14249.048951200002</v>
      </c>
    </row>
    <row r="72" spans="1:17" ht="110.1" customHeight="1">
      <c r="A72" s="3" t="s">
        <v>20</v>
      </c>
      <c r="B72" s="4" t="s">
        <v>175</v>
      </c>
      <c r="C72" s="3" t="s">
        <v>22</v>
      </c>
      <c r="D72" s="3" t="s">
        <v>176</v>
      </c>
      <c r="E72" s="21" t="s">
        <v>177</v>
      </c>
      <c r="F72" s="5">
        <f>167.3</f>
        <v>167.3</v>
      </c>
      <c r="G72" s="3" t="s">
        <v>170</v>
      </c>
      <c r="H72" s="6">
        <v>45.53</v>
      </c>
      <c r="I72" s="6">
        <v>45.53</v>
      </c>
      <c r="J72" s="7">
        <v>0.25030000000000002</v>
      </c>
      <c r="K72" s="8">
        <f t="shared" si="4"/>
        <v>56.926158999999998</v>
      </c>
      <c r="L72" s="8">
        <f t="shared" si="3"/>
        <v>9523.7464006999999</v>
      </c>
      <c r="M72" s="3"/>
      <c r="N72" s="9">
        <v>1</v>
      </c>
      <c r="O72" s="3" t="s">
        <v>26</v>
      </c>
      <c r="P72" s="10">
        <v>167.3</v>
      </c>
      <c r="Q72" s="8">
        <f t="shared" si="5"/>
        <v>9523.7464006999999</v>
      </c>
    </row>
    <row r="73" spans="1:17" ht="80.099999999999994" customHeight="1">
      <c r="A73" s="3" t="s">
        <v>20</v>
      </c>
      <c r="B73" s="4" t="s">
        <v>178</v>
      </c>
      <c r="C73" s="3" t="s">
        <v>22</v>
      </c>
      <c r="D73" s="3" t="s">
        <v>179</v>
      </c>
      <c r="E73" s="21" t="s">
        <v>180</v>
      </c>
      <c r="F73" s="5">
        <f>291.85</f>
        <v>291.85000000000002</v>
      </c>
      <c r="G73" s="3" t="s">
        <v>30</v>
      </c>
      <c r="H73" s="6">
        <v>16.149999999999999</v>
      </c>
      <c r="I73" s="6">
        <v>16.149999999999999</v>
      </c>
      <c r="J73" s="7">
        <v>0.25030000000000002</v>
      </c>
      <c r="K73" s="8">
        <f t="shared" si="4"/>
        <v>20.192345</v>
      </c>
      <c r="L73" s="8">
        <f t="shared" si="3"/>
        <v>5893.1358882499999</v>
      </c>
      <c r="M73" s="3"/>
      <c r="N73" s="9">
        <v>1</v>
      </c>
      <c r="O73" s="3" t="s">
        <v>26</v>
      </c>
      <c r="P73" s="10">
        <v>291.85000000000002</v>
      </c>
      <c r="Q73" s="8">
        <f t="shared" si="5"/>
        <v>5893.1358882499999</v>
      </c>
    </row>
    <row r="74" spans="1:17" ht="39.950000000000003" customHeight="1">
      <c r="A74" s="3" t="s">
        <v>17</v>
      </c>
      <c r="B74" s="4" t="s">
        <v>181</v>
      </c>
      <c r="C74" s="3"/>
      <c r="D74" s="3"/>
      <c r="E74" s="21" t="s">
        <v>182</v>
      </c>
      <c r="F74" s="5"/>
      <c r="G74" s="3"/>
      <c r="H74" s="6"/>
      <c r="I74" s="6"/>
      <c r="J74" s="7"/>
      <c r="K74" s="8"/>
      <c r="L74" s="8">
        <f>SUM(L75:L82)</f>
        <v>68112.099260750008</v>
      </c>
      <c r="M74" s="3"/>
      <c r="N74" s="9"/>
      <c r="O74" s="3"/>
      <c r="P74" s="10"/>
      <c r="Q74" s="8"/>
    </row>
    <row r="75" spans="1:17" ht="80.099999999999994" customHeight="1">
      <c r="A75" s="3" t="s">
        <v>20</v>
      </c>
      <c r="B75" s="4" t="s">
        <v>183</v>
      </c>
      <c r="C75" s="3" t="s">
        <v>119</v>
      </c>
      <c r="D75" s="3" t="s">
        <v>154</v>
      </c>
      <c r="E75" s="21" t="s">
        <v>155</v>
      </c>
      <c r="F75" s="5">
        <f>4</f>
        <v>4</v>
      </c>
      <c r="G75" s="16" t="s">
        <v>341</v>
      </c>
      <c r="H75" s="6">
        <v>1461.89</v>
      </c>
      <c r="I75" s="6">
        <v>1461.89</v>
      </c>
      <c r="J75" s="7">
        <v>0.19089999999999999</v>
      </c>
      <c r="K75" s="8">
        <f t="shared" si="4"/>
        <v>1740.9648010000001</v>
      </c>
      <c r="L75" s="8">
        <f t="shared" si="3"/>
        <v>6963.8592040000003</v>
      </c>
      <c r="M75" s="3"/>
      <c r="N75" s="9">
        <v>1</v>
      </c>
      <c r="O75" s="3" t="s">
        <v>26</v>
      </c>
      <c r="P75" s="10">
        <v>4</v>
      </c>
      <c r="Q75" s="8">
        <f t="shared" si="5"/>
        <v>6963.8592040000003</v>
      </c>
    </row>
    <row r="76" spans="1:17" ht="80.099999999999994" customHeight="1">
      <c r="A76" s="3" t="s">
        <v>20</v>
      </c>
      <c r="B76" s="4" t="s">
        <v>184</v>
      </c>
      <c r="C76" s="3" t="s">
        <v>119</v>
      </c>
      <c r="D76" s="3" t="s">
        <v>157</v>
      </c>
      <c r="E76" s="21" t="s">
        <v>158</v>
      </c>
      <c r="F76" s="5">
        <f>16</f>
        <v>16</v>
      </c>
      <c r="G76" s="16" t="s">
        <v>341</v>
      </c>
      <c r="H76" s="6">
        <v>923.3</v>
      </c>
      <c r="I76" s="6">
        <v>923.3</v>
      </c>
      <c r="J76" s="7">
        <v>0.19089999999999999</v>
      </c>
      <c r="K76" s="8">
        <f t="shared" si="4"/>
        <v>1099.5579699999998</v>
      </c>
      <c r="L76" s="8">
        <f t="shared" si="3"/>
        <v>17592.927519999997</v>
      </c>
      <c r="M76" s="3"/>
      <c r="N76" s="9">
        <v>1</v>
      </c>
      <c r="O76" s="3" t="s">
        <v>26</v>
      </c>
      <c r="P76" s="10">
        <v>16</v>
      </c>
      <c r="Q76" s="8">
        <f t="shared" si="5"/>
        <v>17592.927519999997</v>
      </c>
    </row>
    <row r="77" spans="1:17" ht="80.099999999999994" customHeight="1">
      <c r="A77" s="3" t="s">
        <v>20</v>
      </c>
      <c r="B77" s="4" t="s">
        <v>185</v>
      </c>
      <c r="C77" s="3" t="s">
        <v>119</v>
      </c>
      <c r="D77" s="3" t="s">
        <v>186</v>
      </c>
      <c r="E77" s="21" t="s">
        <v>187</v>
      </c>
      <c r="F77" s="5">
        <f>4</f>
        <v>4</v>
      </c>
      <c r="G77" s="16" t="s">
        <v>341</v>
      </c>
      <c r="H77" s="6">
        <v>3385.42</v>
      </c>
      <c r="I77" s="6">
        <v>3385.42</v>
      </c>
      <c r="J77" s="7">
        <v>0.19089999999999999</v>
      </c>
      <c r="K77" s="8">
        <f t="shared" si="4"/>
        <v>4031.6966780000002</v>
      </c>
      <c r="L77" s="8">
        <f t="shared" si="3"/>
        <v>16126.786712000001</v>
      </c>
      <c r="M77" s="3"/>
      <c r="N77" s="9">
        <v>1</v>
      </c>
      <c r="O77" s="3" t="s">
        <v>26</v>
      </c>
      <c r="P77" s="10">
        <v>4</v>
      </c>
      <c r="Q77" s="8">
        <f t="shared" si="5"/>
        <v>16126.786712000001</v>
      </c>
    </row>
    <row r="78" spans="1:17" ht="80.099999999999994" customHeight="1">
      <c r="A78" s="3" t="s">
        <v>20</v>
      </c>
      <c r="B78" s="4" t="s">
        <v>188</v>
      </c>
      <c r="C78" s="3" t="s">
        <v>119</v>
      </c>
      <c r="D78" s="3" t="s">
        <v>189</v>
      </c>
      <c r="E78" s="21" t="s">
        <v>190</v>
      </c>
      <c r="F78" s="5">
        <f>2</f>
        <v>2</v>
      </c>
      <c r="G78" s="16" t="s">
        <v>341</v>
      </c>
      <c r="H78" s="6">
        <v>5847.54</v>
      </c>
      <c r="I78" s="6">
        <v>5847.54</v>
      </c>
      <c r="J78" s="7">
        <v>0.19089999999999999</v>
      </c>
      <c r="K78" s="8">
        <f t="shared" si="4"/>
        <v>6963.8353859999997</v>
      </c>
      <c r="L78" s="8">
        <f t="shared" si="3"/>
        <v>13927.670771999999</v>
      </c>
      <c r="M78" s="3"/>
      <c r="N78" s="9">
        <v>1</v>
      </c>
      <c r="O78" s="3" t="s">
        <v>26</v>
      </c>
      <c r="P78" s="10">
        <v>2</v>
      </c>
      <c r="Q78" s="8">
        <f t="shared" si="5"/>
        <v>13927.670771999999</v>
      </c>
    </row>
    <row r="79" spans="1:17" ht="80.099999999999994" customHeight="1">
      <c r="A79" s="3" t="s">
        <v>20</v>
      </c>
      <c r="B79" s="4" t="s">
        <v>191</v>
      </c>
      <c r="C79" s="3" t="s">
        <v>22</v>
      </c>
      <c r="D79" s="3" t="s">
        <v>192</v>
      </c>
      <c r="E79" s="21" t="s">
        <v>193</v>
      </c>
      <c r="F79" s="5">
        <f>11.75</f>
        <v>11.75</v>
      </c>
      <c r="G79" s="16" t="s">
        <v>30</v>
      </c>
      <c r="H79" s="6">
        <v>572.54999999999995</v>
      </c>
      <c r="I79" s="6">
        <v>572.54999999999995</v>
      </c>
      <c r="J79" s="7">
        <v>0.25030000000000002</v>
      </c>
      <c r="K79" s="8">
        <f t="shared" si="4"/>
        <v>715.85926499999994</v>
      </c>
      <c r="L79" s="8">
        <f t="shared" si="3"/>
        <v>8411.346363749999</v>
      </c>
      <c r="M79" s="3"/>
      <c r="N79" s="9">
        <v>1</v>
      </c>
      <c r="O79" s="3" t="s">
        <v>26</v>
      </c>
      <c r="P79" s="10">
        <v>11.75</v>
      </c>
      <c r="Q79" s="8">
        <f t="shared" si="5"/>
        <v>8411.346363749999</v>
      </c>
    </row>
    <row r="80" spans="1:17" ht="80.099999999999994" customHeight="1">
      <c r="A80" s="3" t="s">
        <v>20</v>
      </c>
      <c r="B80" s="4" t="s">
        <v>194</v>
      </c>
      <c r="C80" s="3" t="s">
        <v>22</v>
      </c>
      <c r="D80" s="3" t="s">
        <v>195</v>
      </c>
      <c r="E80" s="21" t="s">
        <v>196</v>
      </c>
      <c r="F80" s="5">
        <f>40</f>
        <v>40</v>
      </c>
      <c r="G80" s="3" t="s">
        <v>197</v>
      </c>
      <c r="H80" s="6">
        <v>47.4</v>
      </c>
      <c r="I80" s="6">
        <v>47.4</v>
      </c>
      <c r="J80" s="7">
        <v>0.25030000000000002</v>
      </c>
      <c r="K80" s="8">
        <f t="shared" si="4"/>
        <v>59.264220000000002</v>
      </c>
      <c r="L80" s="8">
        <f t="shared" si="3"/>
        <v>2370.5688</v>
      </c>
      <c r="M80" s="3"/>
      <c r="N80" s="9">
        <v>1</v>
      </c>
      <c r="O80" s="3" t="s">
        <v>26</v>
      </c>
      <c r="P80" s="10">
        <v>40</v>
      </c>
      <c r="Q80" s="8">
        <f t="shared" si="5"/>
        <v>2370.5688</v>
      </c>
    </row>
    <row r="81" spans="1:17" ht="80.099999999999994" customHeight="1">
      <c r="A81" s="3" t="s">
        <v>20</v>
      </c>
      <c r="B81" s="4" t="s">
        <v>198</v>
      </c>
      <c r="C81" s="3" t="s">
        <v>22</v>
      </c>
      <c r="D81" s="3" t="s">
        <v>199</v>
      </c>
      <c r="E81" s="21" t="s">
        <v>200</v>
      </c>
      <c r="F81" s="5">
        <f>20</f>
        <v>20</v>
      </c>
      <c r="G81" s="3" t="s">
        <v>197</v>
      </c>
      <c r="H81" s="6">
        <v>86.44</v>
      </c>
      <c r="I81" s="6">
        <v>86.44</v>
      </c>
      <c r="J81" s="7">
        <v>0.25030000000000002</v>
      </c>
      <c r="K81" s="8">
        <f t="shared" si="4"/>
        <v>108.07593199999999</v>
      </c>
      <c r="L81" s="8">
        <f t="shared" si="3"/>
        <v>2161.5186399999998</v>
      </c>
      <c r="M81" s="3"/>
      <c r="N81" s="9">
        <v>1</v>
      </c>
      <c r="O81" s="3" t="s">
        <v>26</v>
      </c>
      <c r="P81" s="10">
        <v>20</v>
      </c>
      <c r="Q81" s="8">
        <f t="shared" si="5"/>
        <v>2161.5186399999998</v>
      </c>
    </row>
    <row r="82" spans="1:17" ht="80.099999999999994" customHeight="1">
      <c r="A82" s="3" t="s">
        <v>20</v>
      </c>
      <c r="B82" s="4" t="s">
        <v>201</v>
      </c>
      <c r="C82" s="3" t="s">
        <v>22</v>
      </c>
      <c r="D82" s="3" t="s">
        <v>202</v>
      </c>
      <c r="E82" s="21" t="s">
        <v>203</v>
      </c>
      <c r="F82" s="5">
        <f>3</f>
        <v>3</v>
      </c>
      <c r="G82" s="3" t="s">
        <v>197</v>
      </c>
      <c r="H82" s="6">
        <v>148.61000000000001</v>
      </c>
      <c r="I82" s="6">
        <v>148.61000000000001</v>
      </c>
      <c r="J82" s="7">
        <v>0.25030000000000002</v>
      </c>
      <c r="K82" s="8">
        <f t="shared" si="4"/>
        <v>185.80708300000003</v>
      </c>
      <c r="L82" s="8">
        <f t="shared" si="3"/>
        <v>557.4212490000001</v>
      </c>
      <c r="M82" s="3"/>
      <c r="N82" s="9">
        <v>1</v>
      </c>
      <c r="O82" s="3" t="s">
        <v>26</v>
      </c>
      <c r="P82" s="10">
        <v>3</v>
      </c>
      <c r="Q82" s="8">
        <f t="shared" si="5"/>
        <v>557.4212490000001</v>
      </c>
    </row>
    <row r="83" spans="1:17" ht="39.950000000000003" customHeight="1">
      <c r="A83" s="3" t="s">
        <v>17</v>
      </c>
      <c r="B83" s="4" t="s">
        <v>204</v>
      </c>
      <c r="C83" s="3"/>
      <c r="D83" s="3"/>
      <c r="E83" s="21" t="s">
        <v>205</v>
      </c>
      <c r="F83" s="5"/>
      <c r="G83" s="3"/>
      <c r="H83" s="6"/>
      <c r="I83" s="6"/>
      <c r="J83" s="7"/>
      <c r="K83" s="8"/>
      <c r="L83" s="8">
        <f>SUM(L84:L110)</f>
        <v>86264.898607999989</v>
      </c>
      <c r="M83" s="3"/>
      <c r="N83" s="9"/>
      <c r="O83" s="3"/>
      <c r="P83" s="10"/>
      <c r="Q83" s="8"/>
    </row>
    <row r="84" spans="1:17" ht="80.099999999999994" customHeight="1">
      <c r="A84" s="3" t="s">
        <v>20</v>
      </c>
      <c r="B84" s="4" t="s">
        <v>206</v>
      </c>
      <c r="C84" s="3" t="s">
        <v>43</v>
      </c>
      <c r="D84" s="3" t="s">
        <v>207</v>
      </c>
      <c r="E84" s="21" t="s">
        <v>208</v>
      </c>
      <c r="F84" s="5">
        <f>6</f>
        <v>6</v>
      </c>
      <c r="G84" s="16" t="s">
        <v>170</v>
      </c>
      <c r="H84" s="6">
        <v>25.96</v>
      </c>
      <c r="I84" s="6">
        <v>25.96</v>
      </c>
      <c r="J84" s="7">
        <v>0.25030000000000002</v>
      </c>
      <c r="K84" s="8">
        <f t="shared" si="4"/>
        <v>32.457788000000001</v>
      </c>
      <c r="L84" s="8">
        <f t="shared" si="3"/>
        <v>194.74672800000002</v>
      </c>
      <c r="M84" s="3"/>
      <c r="N84" s="9">
        <v>1</v>
      </c>
      <c r="O84" s="3" t="s">
        <v>26</v>
      </c>
      <c r="P84" s="10">
        <v>6</v>
      </c>
      <c r="Q84" s="8">
        <f t="shared" si="5"/>
        <v>194.74672800000002</v>
      </c>
    </row>
    <row r="85" spans="1:17" ht="80.099999999999994" customHeight="1">
      <c r="A85" s="3" t="s">
        <v>20</v>
      </c>
      <c r="B85" s="4" t="s">
        <v>209</v>
      </c>
      <c r="C85" s="3" t="s">
        <v>43</v>
      </c>
      <c r="D85" s="3" t="s">
        <v>210</v>
      </c>
      <c r="E85" s="21" t="s">
        <v>211</v>
      </c>
      <c r="F85" s="5">
        <f>70</f>
        <v>70</v>
      </c>
      <c r="G85" s="16" t="s">
        <v>170</v>
      </c>
      <c r="H85" s="6">
        <v>8.25</v>
      </c>
      <c r="I85" s="6">
        <v>8.25</v>
      </c>
      <c r="J85" s="7">
        <v>0.25030000000000002</v>
      </c>
      <c r="K85" s="8">
        <f t="shared" si="4"/>
        <v>10.314975</v>
      </c>
      <c r="L85" s="8">
        <f t="shared" si="3"/>
        <v>722.04825000000005</v>
      </c>
      <c r="M85" s="3"/>
      <c r="N85" s="9">
        <v>1</v>
      </c>
      <c r="O85" s="3" t="s">
        <v>26</v>
      </c>
      <c r="P85" s="10">
        <v>70</v>
      </c>
      <c r="Q85" s="8">
        <f t="shared" si="5"/>
        <v>722.04825000000005</v>
      </c>
    </row>
    <row r="86" spans="1:17" ht="80.099999999999994" customHeight="1">
      <c r="A86" s="3" t="s">
        <v>20</v>
      </c>
      <c r="B86" s="4" t="s">
        <v>212</v>
      </c>
      <c r="C86" s="3" t="s">
        <v>43</v>
      </c>
      <c r="D86" s="3" t="s">
        <v>213</v>
      </c>
      <c r="E86" s="21" t="s">
        <v>214</v>
      </c>
      <c r="F86" s="5">
        <f>180</f>
        <v>180</v>
      </c>
      <c r="G86" s="16" t="s">
        <v>170</v>
      </c>
      <c r="H86" s="6">
        <v>11.74</v>
      </c>
      <c r="I86" s="6">
        <v>11.74</v>
      </c>
      <c r="J86" s="7">
        <v>0.25030000000000002</v>
      </c>
      <c r="K86" s="8">
        <f t="shared" si="4"/>
        <v>14.678522000000001</v>
      </c>
      <c r="L86" s="8">
        <f t="shared" ref="L86:L127" si="6">PRODUCT(K86,F86)</f>
        <v>2642.1339600000001</v>
      </c>
      <c r="M86" s="3"/>
      <c r="N86" s="9">
        <v>1</v>
      </c>
      <c r="O86" s="3" t="s">
        <v>26</v>
      </c>
      <c r="P86" s="10">
        <v>180</v>
      </c>
      <c r="Q86" s="8">
        <f t="shared" si="5"/>
        <v>2642.1339600000001</v>
      </c>
    </row>
    <row r="87" spans="1:17" ht="80.099999999999994" customHeight="1">
      <c r="A87" s="3" t="s">
        <v>20</v>
      </c>
      <c r="B87" s="4" t="s">
        <v>215</v>
      </c>
      <c r="C87" s="3" t="s">
        <v>43</v>
      </c>
      <c r="D87" s="3" t="s">
        <v>216</v>
      </c>
      <c r="E87" s="21" t="s">
        <v>217</v>
      </c>
      <c r="F87" s="5">
        <f>120</f>
        <v>120</v>
      </c>
      <c r="G87" s="16" t="s">
        <v>170</v>
      </c>
      <c r="H87" s="6">
        <v>29.97</v>
      </c>
      <c r="I87" s="6">
        <v>29.97</v>
      </c>
      <c r="J87" s="7">
        <v>0.25030000000000002</v>
      </c>
      <c r="K87" s="8">
        <f t="shared" si="4"/>
        <v>37.471491</v>
      </c>
      <c r="L87" s="8">
        <f t="shared" si="6"/>
        <v>4496.5789199999999</v>
      </c>
      <c r="M87" s="3"/>
      <c r="N87" s="9">
        <v>1</v>
      </c>
      <c r="O87" s="3" t="s">
        <v>26</v>
      </c>
      <c r="P87" s="10">
        <v>120</v>
      </c>
      <c r="Q87" s="8">
        <f t="shared" si="5"/>
        <v>4496.5789199999999</v>
      </c>
    </row>
    <row r="88" spans="1:17" ht="80.099999999999994" customHeight="1">
      <c r="A88" s="3" t="s">
        <v>20</v>
      </c>
      <c r="B88" s="4" t="s">
        <v>218</v>
      </c>
      <c r="C88" s="3" t="s">
        <v>43</v>
      </c>
      <c r="D88" s="3" t="s">
        <v>219</v>
      </c>
      <c r="E88" s="21" t="s">
        <v>220</v>
      </c>
      <c r="F88" s="5">
        <f>14</f>
        <v>14</v>
      </c>
      <c r="G88" s="16" t="s">
        <v>340</v>
      </c>
      <c r="H88" s="6">
        <v>21.62</v>
      </c>
      <c r="I88" s="6">
        <v>21.62</v>
      </c>
      <c r="J88" s="7">
        <v>0.25030000000000002</v>
      </c>
      <c r="K88" s="8">
        <f t="shared" si="4"/>
        <v>27.031486000000001</v>
      </c>
      <c r="L88" s="8">
        <f t="shared" si="6"/>
        <v>378.44080400000001</v>
      </c>
      <c r="M88" s="3"/>
      <c r="N88" s="9">
        <v>1</v>
      </c>
      <c r="O88" s="3" t="s">
        <v>26</v>
      </c>
      <c r="P88" s="10">
        <v>14</v>
      </c>
      <c r="Q88" s="8">
        <f t="shared" si="5"/>
        <v>378.44080400000001</v>
      </c>
    </row>
    <row r="89" spans="1:17" ht="80.099999999999994" customHeight="1">
      <c r="A89" s="3" t="s">
        <v>20</v>
      </c>
      <c r="B89" s="4" t="s">
        <v>221</v>
      </c>
      <c r="C89" s="3" t="s">
        <v>43</v>
      </c>
      <c r="D89" s="3" t="s">
        <v>222</v>
      </c>
      <c r="E89" s="21" t="s">
        <v>223</v>
      </c>
      <c r="F89" s="5">
        <f>165</f>
        <v>165</v>
      </c>
      <c r="G89" s="16" t="s">
        <v>170</v>
      </c>
      <c r="H89" s="6">
        <v>5.04</v>
      </c>
      <c r="I89" s="6">
        <v>5.04</v>
      </c>
      <c r="J89" s="7">
        <v>0.25030000000000002</v>
      </c>
      <c r="K89" s="8">
        <f t="shared" si="4"/>
        <v>6.3015120000000007</v>
      </c>
      <c r="L89" s="8">
        <f t="shared" si="6"/>
        <v>1039.7494800000002</v>
      </c>
      <c r="M89" s="3"/>
      <c r="N89" s="9">
        <v>1</v>
      </c>
      <c r="O89" s="3" t="s">
        <v>26</v>
      </c>
      <c r="P89" s="10">
        <v>165</v>
      </c>
      <c r="Q89" s="8">
        <f t="shared" si="5"/>
        <v>1039.7494800000002</v>
      </c>
    </row>
    <row r="90" spans="1:17" ht="80.099999999999994" customHeight="1">
      <c r="A90" s="3" t="s">
        <v>20</v>
      </c>
      <c r="B90" s="4" t="s">
        <v>224</v>
      </c>
      <c r="C90" s="3" t="s">
        <v>43</v>
      </c>
      <c r="D90" s="3" t="s">
        <v>225</v>
      </c>
      <c r="E90" s="21" t="s">
        <v>226</v>
      </c>
      <c r="F90" s="5">
        <f>700</f>
        <v>700</v>
      </c>
      <c r="G90" s="16" t="s">
        <v>170</v>
      </c>
      <c r="H90" s="6">
        <v>7.44</v>
      </c>
      <c r="I90" s="6">
        <v>7.44</v>
      </c>
      <c r="J90" s="7">
        <v>0.25030000000000002</v>
      </c>
      <c r="K90" s="8">
        <f t="shared" si="4"/>
        <v>9.3022320000000001</v>
      </c>
      <c r="L90" s="8">
        <f t="shared" si="6"/>
        <v>6511.5623999999998</v>
      </c>
      <c r="M90" s="3"/>
      <c r="N90" s="9">
        <v>1</v>
      </c>
      <c r="O90" s="3" t="s">
        <v>26</v>
      </c>
      <c r="P90" s="10">
        <v>700</v>
      </c>
      <c r="Q90" s="8">
        <f t="shared" si="5"/>
        <v>6511.5623999999998</v>
      </c>
    </row>
    <row r="91" spans="1:17" ht="80.099999999999994" customHeight="1">
      <c r="A91" s="3" t="s">
        <v>20</v>
      </c>
      <c r="B91" s="4" t="s">
        <v>227</v>
      </c>
      <c r="C91" s="3" t="s">
        <v>43</v>
      </c>
      <c r="D91" s="3" t="s">
        <v>228</v>
      </c>
      <c r="E91" s="21" t="s">
        <v>229</v>
      </c>
      <c r="F91" s="5">
        <f>340</f>
        <v>340</v>
      </c>
      <c r="G91" s="16" t="s">
        <v>170</v>
      </c>
      <c r="H91" s="6">
        <v>10.51</v>
      </c>
      <c r="I91" s="6">
        <v>10.51</v>
      </c>
      <c r="J91" s="7">
        <v>0.25030000000000002</v>
      </c>
      <c r="K91" s="8">
        <f t="shared" si="4"/>
        <v>13.140653</v>
      </c>
      <c r="L91" s="8">
        <f t="shared" si="6"/>
        <v>4467.8220200000005</v>
      </c>
      <c r="M91" s="3"/>
      <c r="N91" s="9">
        <v>1</v>
      </c>
      <c r="O91" s="3" t="s">
        <v>26</v>
      </c>
      <c r="P91" s="10">
        <v>340</v>
      </c>
      <c r="Q91" s="8">
        <f t="shared" si="5"/>
        <v>4467.8220200000005</v>
      </c>
    </row>
    <row r="92" spans="1:17" ht="80.099999999999994" customHeight="1">
      <c r="A92" s="3" t="s">
        <v>20</v>
      </c>
      <c r="B92" s="4" t="s">
        <v>230</v>
      </c>
      <c r="C92" s="3" t="s">
        <v>43</v>
      </c>
      <c r="D92" s="3" t="s">
        <v>231</v>
      </c>
      <c r="E92" s="21" t="s">
        <v>232</v>
      </c>
      <c r="F92" s="5">
        <f>870</f>
        <v>870</v>
      </c>
      <c r="G92" s="16" t="s">
        <v>170</v>
      </c>
      <c r="H92" s="6">
        <v>16.8</v>
      </c>
      <c r="I92" s="6">
        <v>16.8</v>
      </c>
      <c r="J92" s="7">
        <v>0.25030000000000002</v>
      </c>
      <c r="K92" s="8">
        <f t="shared" si="4"/>
        <v>21.005040000000001</v>
      </c>
      <c r="L92" s="8">
        <f t="shared" si="6"/>
        <v>18274.3848</v>
      </c>
      <c r="M92" s="3"/>
      <c r="N92" s="9">
        <v>1</v>
      </c>
      <c r="O92" s="3" t="s">
        <v>26</v>
      </c>
      <c r="P92" s="10">
        <v>870</v>
      </c>
      <c r="Q92" s="8">
        <f t="shared" si="5"/>
        <v>18274.3848</v>
      </c>
    </row>
    <row r="93" spans="1:17" ht="80.099999999999994" customHeight="1">
      <c r="A93" s="3" t="s">
        <v>20</v>
      </c>
      <c r="B93" s="4" t="s">
        <v>233</v>
      </c>
      <c r="C93" s="3" t="s">
        <v>43</v>
      </c>
      <c r="D93" s="3" t="s">
        <v>234</v>
      </c>
      <c r="E93" s="21" t="s">
        <v>235</v>
      </c>
      <c r="F93" s="5">
        <f>20</f>
        <v>20</v>
      </c>
      <c r="G93" s="16" t="s">
        <v>170</v>
      </c>
      <c r="H93" s="6">
        <v>26.37</v>
      </c>
      <c r="I93" s="6">
        <v>26.37</v>
      </c>
      <c r="J93" s="7">
        <v>0.25030000000000002</v>
      </c>
      <c r="K93" s="8">
        <f t="shared" si="4"/>
        <v>32.970410999999999</v>
      </c>
      <c r="L93" s="8">
        <f t="shared" si="6"/>
        <v>659.40822000000003</v>
      </c>
      <c r="M93" s="3"/>
      <c r="N93" s="9">
        <v>1</v>
      </c>
      <c r="O93" s="3" t="s">
        <v>26</v>
      </c>
      <c r="P93" s="10">
        <v>20</v>
      </c>
      <c r="Q93" s="8">
        <f t="shared" si="5"/>
        <v>659.40822000000003</v>
      </c>
    </row>
    <row r="94" spans="1:17" ht="80.099999999999994" customHeight="1">
      <c r="A94" s="3" t="s">
        <v>20</v>
      </c>
      <c r="B94" s="4" t="s">
        <v>236</v>
      </c>
      <c r="C94" s="3" t="s">
        <v>43</v>
      </c>
      <c r="D94" s="3" t="s">
        <v>237</v>
      </c>
      <c r="E94" s="21" t="s">
        <v>238</v>
      </c>
      <c r="F94" s="5">
        <f>5</f>
        <v>5</v>
      </c>
      <c r="G94" s="16" t="s">
        <v>340</v>
      </c>
      <c r="H94" s="6">
        <v>33.94</v>
      </c>
      <c r="I94" s="6">
        <v>33.94</v>
      </c>
      <c r="J94" s="7">
        <v>0.25030000000000002</v>
      </c>
      <c r="K94" s="8">
        <f t="shared" si="4"/>
        <v>42.435181999999998</v>
      </c>
      <c r="L94" s="8">
        <f t="shared" si="6"/>
        <v>212.17590999999999</v>
      </c>
      <c r="M94" s="3"/>
      <c r="N94" s="9">
        <v>1</v>
      </c>
      <c r="O94" s="3" t="s">
        <v>26</v>
      </c>
      <c r="P94" s="10">
        <v>5</v>
      </c>
      <c r="Q94" s="8">
        <f t="shared" si="5"/>
        <v>212.17590999999999</v>
      </c>
    </row>
    <row r="95" spans="1:17" ht="80.099999999999994" customHeight="1">
      <c r="A95" s="3" t="s">
        <v>20</v>
      </c>
      <c r="B95" s="4" t="s">
        <v>239</v>
      </c>
      <c r="C95" s="3" t="s">
        <v>43</v>
      </c>
      <c r="D95" s="3" t="s">
        <v>240</v>
      </c>
      <c r="E95" s="21" t="s">
        <v>241</v>
      </c>
      <c r="F95" s="5">
        <f>8</f>
        <v>8</v>
      </c>
      <c r="G95" s="16" t="s">
        <v>340</v>
      </c>
      <c r="H95" s="6">
        <v>31.87</v>
      </c>
      <c r="I95" s="6">
        <v>31.87</v>
      </c>
      <c r="J95" s="7">
        <v>0.25030000000000002</v>
      </c>
      <c r="K95" s="8">
        <f t="shared" si="4"/>
        <v>39.847061000000004</v>
      </c>
      <c r="L95" s="8">
        <f t="shared" si="6"/>
        <v>318.77648800000003</v>
      </c>
      <c r="M95" s="3"/>
      <c r="N95" s="9">
        <v>1</v>
      </c>
      <c r="O95" s="3" t="s">
        <v>26</v>
      </c>
      <c r="P95" s="10">
        <v>8</v>
      </c>
      <c r="Q95" s="8">
        <f t="shared" si="5"/>
        <v>318.77648800000003</v>
      </c>
    </row>
    <row r="96" spans="1:17" ht="80.099999999999994" customHeight="1">
      <c r="A96" s="3" t="s">
        <v>20</v>
      </c>
      <c r="B96" s="4" t="s">
        <v>242</v>
      </c>
      <c r="C96" s="3" t="s">
        <v>43</v>
      </c>
      <c r="D96" s="3" t="s">
        <v>243</v>
      </c>
      <c r="E96" s="21" t="s">
        <v>244</v>
      </c>
      <c r="F96" s="5">
        <f>2</f>
        <v>2</v>
      </c>
      <c r="G96" s="16" t="s">
        <v>340</v>
      </c>
      <c r="H96" s="6">
        <v>45</v>
      </c>
      <c r="I96" s="6">
        <v>45</v>
      </c>
      <c r="J96" s="7">
        <v>0.25030000000000002</v>
      </c>
      <c r="K96" s="8">
        <f t="shared" si="4"/>
        <v>56.263500000000001</v>
      </c>
      <c r="L96" s="8">
        <f t="shared" si="6"/>
        <v>112.527</v>
      </c>
      <c r="M96" s="3"/>
      <c r="N96" s="9">
        <v>1</v>
      </c>
      <c r="O96" s="3" t="s">
        <v>26</v>
      </c>
      <c r="P96" s="10">
        <v>2</v>
      </c>
      <c r="Q96" s="8">
        <f t="shared" si="5"/>
        <v>112.527</v>
      </c>
    </row>
    <row r="97" spans="1:17" ht="80.099999999999994" customHeight="1">
      <c r="A97" s="3" t="s">
        <v>20</v>
      </c>
      <c r="B97" s="4" t="s">
        <v>245</v>
      </c>
      <c r="C97" s="3" t="s">
        <v>43</v>
      </c>
      <c r="D97" s="3" t="s">
        <v>246</v>
      </c>
      <c r="E97" s="21" t="s">
        <v>247</v>
      </c>
      <c r="F97" s="5">
        <f>1</f>
        <v>1</v>
      </c>
      <c r="G97" s="16" t="s">
        <v>340</v>
      </c>
      <c r="H97" s="6">
        <v>4084.16</v>
      </c>
      <c r="I97" s="6">
        <v>4084.16</v>
      </c>
      <c r="J97" s="7">
        <v>0.25030000000000002</v>
      </c>
      <c r="K97" s="8">
        <f t="shared" si="4"/>
        <v>5106.4252479999996</v>
      </c>
      <c r="L97" s="8">
        <f t="shared" si="6"/>
        <v>5106.4252479999996</v>
      </c>
      <c r="M97" s="3"/>
      <c r="N97" s="9">
        <v>1</v>
      </c>
      <c r="O97" s="3" t="s">
        <v>26</v>
      </c>
      <c r="P97" s="10">
        <v>1</v>
      </c>
      <c r="Q97" s="8">
        <f t="shared" si="5"/>
        <v>5106.4252479999996</v>
      </c>
    </row>
    <row r="98" spans="1:17" ht="80.099999999999994" customHeight="1">
      <c r="A98" s="3" t="s">
        <v>20</v>
      </c>
      <c r="B98" s="4" t="s">
        <v>248</v>
      </c>
      <c r="C98" s="3" t="s">
        <v>43</v>
      </c>
      <c r="D98" s="3" t="s">
        <v>249</v>
      </c>
      <c r="E98" s="21" t="s">
        <v>250</v>
      </c>
      <c r="F98" s="5">
        <f>1</f>
        <v>1</v>
      </c>
      <c r="G98" s="16" t="s">
        <v>340</v>
      </c>
      <c r="H98" s="6">
        <v>486.2</v>
      </c>
      <c r="I98" s="6">
        <v>486.2</v>
      </c>
      <c r="J98" s="7">
        <v>0.25030000000000002</v>
      </c>
      <c r="K98" s="8">
        <f t="shared" si="4"/>
        <v>607.89585999999997</v>
      </c>
      <c r="L98" s="8">
        <f t="shared" si="6"/>
        <v>607.89585999999997</v>
      </c>
      <c r="M98" s="3"/>
      <c r="N98" s="9">
        <v>1</v>
      </c>
      <c r="O98" s="3" t="s">
        <v>26</v>
      </c>
      <c r="P98" s="10">
        <v>1</v>
      </c>
      <c r="Q98" s="8">
        <f t="shared" si="5"/>
        <v>607.89585999999997</v>
      </c>
    </row>
    <row r="99" spans="1:17" ht="80.099999999999994" customHeight="1">
      <c r="A99" s="3" t="s">
        <v>20</v>
      </c>
      <c r="B99" s="4" t="s">
        <v>251</v>
      </c>
      <c r="C99" s="3" t="s">
        <v>43</v>
      </c>
      <c r="D99" s="3" t="s">
        <v>252</v>
      </c>
      <c r="E99" s="21" t="s">
        <v>253</v>
      </c>
      <c r="F99" s="5">
        <f>4</f>
        <v>4</v>
      </c>
      <c r="G99" s="16" t="s">
        <v>340</v>
      </c>
      <c r="H99" s="6">
        <v>16.61</v>
      </c>
      <c r="I99" s="6">
        <v>16.61</v>
      </c>
      <c r="J99" s="7">
        <v>0.25030000000000002</v>
      </c>
      <c r="K99" s="8">
        <f t="shared" si="4"/>
        <v>20.767482999999999</v>
      </c>
      <c r="L99" s="8">
        <f t="shared" si="6"/>
        <v>83.069931999999994</v>
      </c>
      <c r="M99" s="3"/>
      <c r="N99" s="9">
        <v>1</v>
      </c>
      <c r="O99" s="3" t="s">
        <v>26</v>
      </c>
      <c r="P99" s="10">
        <v>4</v>
      </c>
      <c r="Q99" s="8">
        <f t="shared" si="5"/>
        <v>83.069931999999994</v>
      </c>
    </row>
    <row r="100" spans="1:17" ht="80.099999999999994" customHeight="1">
      <c r="A100" s="3" t="s">
        <v>20</v>
      </c>
      <c r="B100" s="4" t="s">
        <v>254</v>
      </c>
      <c r="C100" s="3" t="s">
        <v>43</v>
      </c>
      <c r="D100" s="3" t="s">
        <v>255</v>
      </c>
      <c r="E100" s="21" t="s">
        <v>256</v>
      </c>
      <c r="F100" s="5">
        <f>1</f>
        <v>1</v>
      </c>
      <c r="G100" s="16" t="s">
        <v>340</v>
      </c>
      <c r="H100" s="6">
        <v>17.899999999999999</v>
      </c>
      <c r="I100" s="6">
        <v>17.899999999999999</v>
      </c>
      <c r="J100" s="7">
        <v>0.25030000000000002</v>
      </c>
      <c r="K100" s="8">
        <f t="shared" si="4"/>
        <v>22.380369999999999</v>
      </c>
      <c r="L100" s="8">
        <f t="shared" si="6"/>
        <v>22.380369999999999</v>
      </c>
      <c r="M100" s="3"/>
      <c r="N100" s="9">
        <v>1</v>
      </c>
      <c r="O100" s="3" t="s">
        <v>26</v>
      </c>
      <c r="P100" s="10">
        <v>1</v>
      </c>
      <c r="Q100" s="8">
        <f t="shared" si="5"/>
        <v>22.380369999999999</v>
      </c>
    </row>
    <row r="101" spans="1:17" ht="80.099999999999994" customHeight="1">
      <c r="A101" s="3" t="s">
        <v>20</v>
      </c>
      <c r="B101" s="4" t="s">
        <v>257</v>
      </c>
      <c r="C101" s="3" t="s">
        <v>43</v>
      </c>
      <c r="D101" s="3" t="s">
        <v>258</v>
      </c>
      <c r="E101" s="21" t="s">
        <v>259</v>
      </c>
      <c r="F101" s="5">
        <f>1</f>
        <v>1</v>
      </c>
      <c r="G101" s="16" t="s">
        <v>340</v>
      </c>
      <c r="H101" s="6">
        <v>106.19</v>
      </c>
      <c r="I101" s="6">
        <v>106.19</v>
      </c>
      <c r="J101" s="7">
        <v>0.25030000000000002</v>
      </c>
      <c r="K101" s="8">
        <f t="shared" si="4"/>
        <v>132.76935700000001</v>
      </c>
      <c r="L101" s="8">
        <f t="shared" si="6"/>
        <v>132.76935700000001</v>
      </c>
      <c r="M101" s="3"/>
      <c r="N101" s="9">
        <v>1</v>
      </c>
      <c r="O101" s="3" t="s">
        <v>26</v>
      </c>
      <c r="P101" s="10">
        <v>1</v>
      </c>
      <c r="Q101" s="8">
        <f t="shared" si="5"/>
        <v>132.76935700000001</v>
      </c>
    </row>
    <row r="102" spans="1:17" ht="80.099999999999994" customHeight="1">
      <c r="A102" s="3" t="s">
        <v>20</v>
      </c>
      <c r="B102" s="4" t="s">
        <v>260</v>
      </c>
      <c r="C102" s="3" t="s">
        <v>43</v>
      </c>
      <c r="D102" s="3" t="s">
        <v>261</v>
      </c>
      <c r="E102" s="21" t="s">
        <v>262</v>
      </c>
      <c r="F102" s="5">
        <f>4</f>
        <v>4</v>
      </c>
      <c r="G102" s="16" t="s">
        <v>340</v>
      </c>
      <c r="H102" s="6">
        <v>156.16</v>
      </c>
      <c r="I102" s="6">
        <v>156.16</v>
      </c>
      <c r="J102" s="7">
        <v>0.25030000000000002</v>
      </c>
      <c r="K102" s="8">
        <f t="shared" si="4"/>
        <v>195.246848</v>
      </c>
      <c r="L102" s="8">
        <f t="shared" si="6"/>
        <v>780.987392</v>
      </c>
      <c r="M102" s="3"/>
      <c r="N102" s="9">
        <v>1</v>
      </c>
      <c r="O102" s="3" t="s">
        <v>26</v>
      </c>
      <c r="P102" s="10">
        <v>4</v>
      </c>
      <c r="Q102" s="8">
        <f t="shared" si="5"/>
        <v>780.987392</v>
      </c>
    </row>
    <row r="103" spans="1:17" ht="80.099999999999994" customHeight="1">
      <c r="A103" s="3" t="s">
        <v>20</v>
      </c>
      <c r="B103" s="4" t="s">
        <v>263</v>
      </c>
      <c r="C103" s="3" t="s">
        <v>43</v>
      </c>
      <c r="D103" s="3" t="s">
        <v>264</v>
      </c>
      <c r="E103" s="21" t="s">
        <v>265</v>
      </c>
      <c r="F103" s="5">
        <f>15</f>
        <v>15</v>
      </c>
      <c r="G103" s="16" t="s">
        <v>170</v>
      </c>
      <c r="H103" s="6">
        <v>91.33</v>
      </c>
      <c r="I103" s="6">
        <v>91.33</v>
      </c>
      <c r="J103" s="7">
        <v>0.25030000000000002</v>
      </c>
      <c r="K103" s="8">
        <f t="shared" si="4"/>
        <v>114.189899</v>
      </c>
      <c r="L103" s="8">
        <f t="shared" si="6"/>
        <v>1712.848485</v>
      </c>
      <c r="M103" s="3"/>
      <c r="N103" s="9">
        <v>1</v>
      </c>
      <c r="O103" s="3" t="s">
        <v>26</v>
      </c>
      <c r="P103" s="10">
        <v>15</v>
      </c>
      <c r="Q103" s="8">
        <f t="shared" si="5"/>
        <v>1712.848485</v>
      </c>
    </row>
    <row r="104" spans="1:17" ht="80.099999999999994" customHeight="1">
      <c r="A104" s="3" t="s">
        <v>20</v>
      </c>
      <c r="B104" s="4" t="s">
        <v>266</v>
      </c>
      <c r="C104" s="3" t="s">
        <v>43</v>
      </c>
      <c r="D104" s="3" t="s">
        <v>267</v>
      </c>
      <c r="E104" s="21" t="s">
        <v>268</v>
      </c>
      <c r="F104" s="5">
        <f>5</f>
        <v>5</v>
      </c>
      <c r="G104" s="16" t="s">
        <v>340</v>
      </c>
      <c r="H104" s="6">
        <v>131.72</v>
      </c>
      <c r="I104" s="6">
        <v>131.72</v>
      </c>
      <c r="J104" s="7">
        <v>0.25030000000000002</v>
      </c>
      <c r="K104" s="8">
        <f t="shared" si="4"/>
        <v>164.689516</v>
      </c>
      <c r="L104" s="8">
        <f t="shared" si="6"/>
        <v>823.44758000000002</v>
      </c>
      <c r="M104" s="3"/>
      <c r="N104" s="9">
        <v>1</v>
      </c>
      <c r="O104" s="3" t="s">
        <v>26</v>
      </c>
      <c r="P104" s="10">
        <v>5</v>
      </c>
      <c r="Q104" s="8">
        <f t="shared" si="5"/>
        <v>823.44758000000002</v>
      </c>
    </row>
    <row r="105" spans="1:17" ht="80.099999999999994" customHeight="1">
      <c r="A105" s="3" t="s">
        <v>20</v>
      </c>
      <c r="B105" s="4" t="s">
        <v>269</v>
      </c>
      <c r="C105" s="3" t="s">
        <v>22</v>
      </c>
      <c r="D105" s="3" t="s">
        <v>270</v>
      </c>
      <c r="E105" s="21" t="s">
        <v>271</v>
      </c>
      <c r="F105" s="5">
        <f>5</f>
        <v>5</v>
      </c>
      <c r="G105" s="16" t="s">
        <v>340</v>
      </c>
      <c r="H105" s="6">
        <v>57.22</v>
      </c>
      <c r="I105" s="6">
        <v>57.22</v>
      </c>
      <c r="J105" s="7">
        <v>0.25030000000000002</v>
      </c>
      <c r="K105" s="8">
        <f t="shared" si="4"/>
        <v>71.542165999999995</v>
      </c>
      <c r="L105" s="8">
        <f t="shared" si="6"/>
        <v>357.71082999999999</v>
      </c>
      <c r="M105" s="3"/>
      <c r="N105" s="9">
        <v>1</v>
      </c>
      <c r="O105" s="3" t="s">
        <v>26</v>
      </c>
      <c r="P105" s="10">
        <v>5</v>
      </c>
      <c r="Q105" s="8">
        <f t="shared" si="5"/>
        <v>357.71082999999999</v>
      </c>
    </row>
    <row r="106" spans="1:17" ht="80.099999999999994" customHeight="1">
      <c r="A106" s="3" t="s">
        <v>20</v>
      </c>
      <c r="B106" s="4" t="s">
        <v>272</v>
      </c>
      <c r="C106" s="3" t="s">
        <v>43</v>
      </c>
      <c r="D106" s="3" t="s">
        <v>273</v>
      </c>
      <c r="E106" s="21" t="s">
        <v>274</v>
      </c>
      <c r="F106" s="5">
        <f>8</f>
        <v>8</v>
      </c>
      <c r="G106" s="16" t="s">
        <v>340</v>
      </c>
      <c r="H106" s="6">
        <v>36.049999999999997</v>
      </c>
      <c r="I106" s="6">
        <v>36.049999999999997</v>
      </c>
      <c r="J106" s="7">
        <v>0.25030000000000002</v>
      </c>
      <c r="K106" s="8">
        <f t="shared" si="4"/>
        <v>45.073314999999994</v>
      </c>
      <c r="L106" s="8">
        <f t="shared" si="6"/>
        <v>360.58651999999995</v>
      </c>
      <c r="M106" s="3"/>
      <c r="N106" s="9">
        <v>1</v>
      </c>
      <c r="O106" s="3" t="s">
        <v>26</v>
      </c>
      <c r="P106" s="10">
        <v>8</v>
      </c>
      <c r="Q106" s="8">
        <f t="shared" si="5"/>
        <v>360.58651999999995</v>
      </c>
    </row>
    <row r="107" spans="1:17" ht="80.099999999999994" customHeight="1">
      <c r="A107" s="3" t="s">
        <v>20</v>
      </c>
      <c r="B107" s="4" t="s">
        <v>275</v>
      </c>
      <c r="C107" s="3" t="s">
        <v>43</v>
      </c>
      <c r="D107" s="3" t="s">
        <v>276</v>
      </c>
      <c r="E107" s="21" t="s">
        <v>277</v>
      </c>
      <c r="F107" s="5">
        <f>13</f>
        <v>13</v>
      </c>
      <c r="G107" s="16" t="s">
        <v>340</v>
      </c>
      <c r="H107" s="6">
        <v>113.35</v>
      </c>
      <c r="I107" s="6">
        <v>113.35</v>
      </c>
      <c r="J107" s="7">
        <v>0.25030000000000002</v>
      </c>
      <c r="K107" s="8">
        <f t="shared" si="4"/>
        <v>141.72150500000001</v>
      </c>
      <c r="L107" s="8">
        <f t="shared" si="6"/>
        <v>1842.3795650000002</v>
      </c>
      <c r="M107" s="3"/>
      <c r="N107" s="9">
        <v>1</v>
      </c>
      <c r="O107" s="3" t="s">
        <v>26</v>
      </c>
      <c r="P107" s="10">
        <v>13</v>
      </c>
      <c r="Q107" s="8">
        <f t="shared" si="5"/>
        <v>1842.3795650000002</v>
      </c>
    </row>
    <row r="108" spans="1:17" ht="80.099999999999994" customHeight="1">
      <c r="A108" s="3" t="s">
        <v>20</v>
      </c>
      <c r="B108" s="4" t="s">
        <v>278</v>
      </c>
      <c r="C108" s="3" t="s">
        <v>22</v>
      </c>
      <c r="D108" s="3" t="s">
        <v>279</v>
      </c>
      <c r="E108" s="21" t="s">
        <v>280</v>
      </c>
      <c r="F108" s="5">
        <f>17</f>
        <v>17</v>
      </c>
      <c r="G108" s="16" t="s">
        <v>340</v>
      </c>
      <c r="H108" s="6">
        <v>192.23</v>
      </c>
      <c r="I108" s="6">
        <v>192.23</v>
      </c>
      <c r="J108" s="7">
        <v>0.25030000000000002</v>
      </c>
      <c r="K108" s="8">
        <f t="shared" si="4"/>
        <v>240.345169</v>
      </c>
      <c r="L108" s="8">
        <f t="shared" si="6"/>
        <v>4085.8678730000001</v>
      </c>
      <c r="M108" s="3"/>
      <c r="N108" s="9">
        <v>1</v>
      </c>
      <c r="O108" s="3" t="s">
        <v>26</v>
      </c>
      <c r="P108" s="10">
        <v>17</v>
      </c>
      <c r="Q108" s="8">
        <f t="shared" si="5"/>
        <v>4085.8678730000001</v>
      </c>
    </row>
    <row r="109" spans="1:17" ht="80.099999999999994" customHeight="1">
      <c r="A109" s="3" t="s">
        <v>20</v>
      </c>
      <c r="B109" s="4" t="s">
        <v>281</v>
      </c>
      <c r="C109" s="3" t="s">
        <v>43</v>
      </c>
      <c r="D109" s="3" t="s">
        <v>282</v>
      </c>
      <c r="E109" s="21" t="s">
        <v>283</v>
      </c>
      <c r="F109" s="5">
        <f>6</f>
        <v>6</v>
      </c>
      <c r="G109" s="16" t="s">
        <v>340</v>
      </c>
      <c r="H109" s="6">
        <v>2774.49</v>
      </c>
      <c r="I109" s="6">
        <v>2774.49</v>
      </c>
      <c r="J109" s="7">
        <v>0.25030000000000002</v>
      </c>
      <c r="K109" s="8">
        <f t="shared" si="4"/>
        <v>3468.9448469999998</v>
      </c>
      <c r="L109" s="8">
        <f t="shared" si="6"/>
        <v>20813.669082</v>
      </c>
      <c r="M109" s="3"/>
      <c r="N109" s="9">
        <v>1</v>
      </c>
      <c r="O109" s="3" t="s">
        <v>26</v>
      </c>
      <c r="P109" s="10">
        <v>6</v>
      </c>
      <c r="Q109" s="8">
        <f t="shared" si="5"/>
        <v>20813.669082</v>
      </c>
    </row>
    <row r="110" spans="1:17" ht="80.099999999999994" customHeight="1">
      <c r="A110" s="3" t="s">
        <v>20</v>
      </c>
      <c r="B110" s="4" t="s">
        <v>284</v>
      </c>
      <c r="C110" s="3" t="s">
        <v>43</v>
      </c>
      <c r="D110" s="3" t="s">
        <v>285</v>
      </c>
      <c r="E110" s="21" t="s">
        <v>286</v>
      </c>
      <c r="F110" s="5">
        <f>2</f>
        <v>2</v>
      </c>
      <c r="G110" s="16" t="s">
        <v>340</v>
      </c>
      <c r="H110" s="6">
        <v>3800.89</v>
      </c>
      <c r="I110" s="6">
        <v>3800.89</v>
      </c>
      <c r="J110" s="7">
        <v>0.25030000000000002</v>
      </c>
      <c r="K110" s="8">
        <f t="shared" si="4"/>
        <v>4752.2527669999999</v>
      </c>
      <c r="L110" s="8">
        <f t="shared" si="6"/>
        <v>9504.5055339999999</v>
      </c>
      <c r="M110" s="3"/>
      <c r="N110" s="9">
        <v>1</v>
      </c>
      <c r="O110" s="3" t="s">
        <v>26</v>
      </c>
      <c r="P110" s="10">
        <v>2</v>
      </c>
      <c r="Q110" s="8">
        <f t="shared" si="5"/>
        <v>9504.5055339999999</v>
      </c>
    </row>
    <row r="111" spans="1:17" ht="39.950000000000003" customHeight="1">
      <c r="A111" s="3" t="s">
        <v>17</v>
      </c>
      <c r="B111" s="4" t="s">
        <v>287</v>
      </c>
      <c r="C111" s="3"/>
      <c r="D111" s="3"/>
      <c r="E111" s="21" t="s">
        <v>288</v>
      </c>
      <c r="F111" s="5"/>
      <c r="G111" s="3"/>
      <c r="H111" s="6"/>
      <c r="I111" s="6"/>
      <c r="J111" s="7"/>
      <c r="K111" s="8"/>
      <c r="L111" s="8">
        <f>SUM(L112:L119)</f>
        <v>2867.8756250000001</v>
      </c>
      <c r="M111" s="3"/>
      <c r="N111" s="9"/>
      <c r="O111" s="3"/>
      <c r="P111" s="10"/>
      <c r="Q111" s="8"/>
    </row>
    <row r="112" spans="1:17" ht="80.099999999999994" customHeight="1">
      <c r="A112" s="3" t="s">
        <v>20</v>
      </c>
      <c r="B112" s="4" t="s">
        <v>289</v>
      </c>
      <c r="C112" s="3" t="s">
        <v>22</v>
      </c>
      <c r="D112" s="3" t="s">
        <v>290</v>
      </c>
      <c r="E112" s="21" t="s">
        <v>291</v>
      </c>
      <c r="F112" s="5">
        <f>30</f>
        <v>30</v>
      </c>
      <c r="G112" s="3" t="s">
        <v>170</v>
      </c>
      <c r="H112" s="6">
        <v>27.22</v>
      </c>
      <c r="I112" s="6">
        <v>27.22</v>
      </c>
      <c r="J112" s="7">
        <v>0.25030000000000002</v>
      </c>
      <c r="K112" s="8">
        <f t="shared" si="4"/>
        <v>34.033166000000001</v>
      </c>
      <c r="L112" s="8">
        <f t="shared" si="6"/>
        <v>1020.9949800000001</v>
      </c>
      <c r="M112" s="3"/>
      <c r="N112" s="9">
        <v>1</v>
      </c>
      <c r="O112" s="3" t="s">
        <v>26</v>
      </c>
      <c r="P112" s="10">
        <v>30</v>
      </c>
      <c r="Q112" s="8">
        <f t="shared" si="5"/>
        <v>1020.9949800000001</v>
      </c>
    </row>
    <row r="113" spans="1:17" ht="80.099999999999994" customHeight="1">
      <c r="A113" s="3" t="s">
        <v>20</v>
      </c>
      <c r="B113" s="4" t="s">
        <v>292</v>
      </c>
      <c r="C113" s="3" t="s">
        <v>22</v>
      </c>
      <c r="D113" s="3" t="s">
        <v>293</v>
      </c>
      <c r="E113" s="21" t="s">
        <v>294</v>
      </c>
      <c r="F113" s="5">
        <f>30</f>
        <v>30</v>
      </c>
      <c r="G113" s="3" t="s">
        <v>170</v>
      </c>
      <c r="H113" s="6">
        <v>36.58</v>
      </c>
      <c r="I113" s="6">
        <v>36.58</v>
      </c>
      <c r="J113" s="7">
        <v>0.25030000000000002</v>
      </c>
      <c r="K113" s="8">
        <f t="shared" si="4"/>
        <v>45.735973999999999</v>
      </c>
      <c r="L113" s="8">
        <f t="shared" si="6"/>
        <v>1372.0792200000001</v>
      </c>
      <c r="M113" s="3"/>
      <c r="N113" s="9">
        <v>1</v>
      </c>
      <c r="O113" s="3" t="s">
        <v>26</v>
      </c>
      <c r="P113" s="10">
        <v>30</v>
      </c>
      <c r="Q113" s="8">
        <f t="shared" si="5"/>
        <v>1372.0792200000001</v>
      </c>
    </row>
    <row r="114" spans="1:17" ht="80.099999999999994" customHeight="1">
      <c r="A114" s="3" t="s">
        <v>20</v>
      </c>
      <c r="B114" s="4" t="s">
        <v>295</v>
      </c>
      <c r="C114" s="3" t="s">
        <v>22</v>
      </c>
      <c r="D114" s="3" t="s">
        <v>296</v>
      </c>
      <c r="E114" s="21" t="s">
        <v>297</v>
      </c>
      <c r="F114" s="5">
        <f>3</f>
        <v>3</v>
      </c>
      <c r="G114" s="3" t="s">
        <v>197</v>
      </c>
      <c r="H114" s="6">
        <v>11.18</v>
      </c>
      <c r="I114" s="6">
        <v>11.18</v>
      </c>
      <c r="J114" s="7">
        <v>0.25030000000000002</v>
      </c>
      <c r="K114" s="8">
        <f t="shared" si="4"/>
        <v>13.978354</v>
      </c>
      <c r="L114" s="8">
        <f t="shared" si="6"/>
        <v>41.935062000000002</v>
      </c>
      <c r="M114" s="3"/>
      <c r="N114" s="9">
        <v>1</v>
      </c>
      <c r="O114" s="3" t="s">
        <v>26</v>
      </c>
      <c r="P114" s="10">
        <v>3</v>
      </c>
      <c r="Q114" s="8">
        <f t="shared" si="5"/>
        <v>41.935062000000002</v>
      </c>
    </row>
    <row r="115" spans="1:17" ht="80.099999999999994" customHeight="1">
      <c r="A115" s="3" t="s">
        <v>20</v>
      </c>
      <c r="B115" s="4" t="s">
        <v>298</v>
      </c>
      <c r="C115" s="3" t="s">
        <v>22</v>
      </c>
      <c r="D115" s="3" t="s">
        <v>299</v>
      </c>
      <c r="E115" s="21" t="s">
        <v>300</v>
      </c>
      <c r="F115" s="5">
        <f>3</f>
        <v>3</v>
      </c>
      <c r="G115" s="3" t="s">
        <v>197</v>
      </c>
      <c r="H115" s="6">
        <v>17.57</v>
      </c>
      <c r="I115" s="6">
        <v>17.57</v>
      </c>
      <c r="J115" s="7">
        <v>0.25030000000000002</v>
      </c>
      <c r="K115" s="8">
        <f t="shared" si="4"/>
        <v>21.967770999999999</v>
      </c>
      <c r="L115" s="8">
        <f t="shared" si="6"/>
        <v>65.903312999999997</v>
      </c>
      <c r="M115" s="3"/>
      <c r="N115" s="9">
        <v>1</v>
      </c>
      <c r="O115" s="3" t="s">
        <v>26</v>
      </c>
      <c r="P115" s="10">
        <v>3</v>
      </c>
      <c r="Q115" s="8">
        <f t="shared" si="5"/>
        <v>65.903312999999997</v>
      </c>
    </row>
    <row r="116" spans="1:17" ht="80.099999999999994" customHeight="1">
      <c r="A116" s="3" t="s">
        <v>20</v>
      </c>
      <c r="B116" s="4" t="s">
        <v>301</v>
      </c>
      <c r="C116" s="3" t="s">
        <v>22</v>
      </c>
      <c r="D116" s="3" t="s">
        <v>302</v>
      </c>
      <c r="E116" s="21" t="s">
        <v>303</v>
      </c>
      <c r="F116" s="5">
        <f>1</f>
        <v>1</v>
      </c>
      <c r="G116" s="3" t="s">
        <v>197</v>
      </c>
      <c r="H116" s="6">
        <v>13.39</v>
      </c>
      <c r="I116" s="6">
        <v>13.39</v>
      </c>
      <c r="J116" s="7">
        <v>0.25030000000000002</v>
      </c>
      <c r="K116" s="8">
        <f t="shared" si="4"/>
        <v>16.741517000000002</v>
      </c>
      <c r="L116" s="8">
        <f t="shared" si="6"/>
        <v>16.741517000000002</v>
      </c>
      <c r="M116" s="3"/>
      <c r="N116" s="9">
        <v>1</v>
      </c>
      <c r="O116" s="3" t="s">
        <v>26</v>
      </c>
      <c r="P116" s="10">
        <v>1</v>
      </c>
      <c r="Q116" s="8">
        <f t="shared" si="5"/>
        <v>16.741517000000002</v>
      </c>
    </row>
    <row r="117" spans="1:17" ht="80.099999999999994" customHeight="1">
      <c r="A117" s="3" t="s">
        <v>20</v>
      </c>
      <c r="B117" s="4" t="s">
        <v>304</v>
      </c>
      <c r="C117" s="3" t="s">
        <v>22</v>
      </c>
      <c r="D117" s="3" t="s">
        <v>305</v>
      </c>
      <c r="E117" s="21" t="s">
        <v>306</v>
      </c>
      <c r="F117" s="5">
        <f>1</f>
        <v>1</v>
      </c>
      <c r="G117" s="3" t="s">
        <v>197</v>
      </c>
      <c r="H117" s="6">
        <v>22.31</v>
      </c>
      <c r="I117" s="6">
        <v>22.31</v>
      </c>
      <c r="J117" s="7">
        <v>0.25030000000000002</v>
      </c>
      <c r="K117" s="8">
        <f t="shared" si="4"/>
        <v>27.894192999999998</v>
      </c>
      <c r="L117" s="8">
        <f t="shared" si="6"/>
        <v>27.894192999999998</v>
      </c>
      <c r="M117" s="3"/>
      <c r="N117" s="9">
        <v>1</v>
      </c>
      <c r="O117" s="3" t="s">
        <v>26</v>
      </c>
      <c r="P117" s="10">
        <v>1</v>
      </c>
      <c r="Q117" s="8">
        <f t="shared" si="5"/>
        <v>27.894192999999998</v>
      </c>
    </row>
    <row r="118" spans="1:17" ht="80.099999999999994" customHeight="1">
      <c r="A118" s="3" t="s">
        <v>20</v>
      </c>
      <c r="B118" s="4" t="s">
        <v>307</v>
      </c>
      <c r="C118" s="3" t="s">
        <v>22</v>
      </c>
      <c r="D118" s="3" t="s">
        <v>308</v>
      </c>
      <c r="E118" s="21" t="s">
        <v>309</v>
      </c>
      <c r="F118" s="5">
        <f>2</f>
        <v>2</v>
      </c>
      <c r="G118" s="3" t="s">
        <v>197</v>
      </c>
      <c r="H118" s="6">
        <v>11.3</v>
      </c>
      <c r="I118" s="6">
        <v>11.3</v>
      </c>
      <c r="J118" s="7">
        <v>0.25030000000000002</v>
      </c>
      <c r="K118" s="8">
        <f t="shared" si="4"/>
        <v>14.128390000000001</v>
      </c>
      <c r="L118" s="8">
        <f t="shared" si="6"/>
        <v>28.256780000000003</v>
      </c>
      <c r="M118" s="3"/>
      <c r="N118" s="9">
        <v>1</v>
      </c>
      <c r="O118" s="3" t="s">
        <v>26</v>
      </c>
      <c r="P118" s="10">
        <v>2</v>
      </c>
      <c r="Q118" s="8">
        <f t="shared" si="5"/>
        <v>28.256780000000003</v>
      </c>
    </row>
    <row r="119" spans="1:17" ht="80.099999999999994" customHeight="1">
      <c r="A119" s="3" t="s">
        <v>20</v>
      </c>
      <c r="B119" s="4" t="s">
        <v>310</v>
      </c>
      <c r="C119" s="3" t="s">
        <v>22</v>
      </c>
      <c r="D119" s="3" t="s">
        <v>311</v>
      </c>
      <c r="E119" s="21" t="s">
        <v>312</v>
      </c>
      <c r="F119" s="5">
        <f>3</f>
        <v>3</v>
      </c>
      <c r="G119" s="3" t="s">
        <v>197</v>
      </c>
      <c r="H119" s="6">
        <v>78.400000000000006</v>
      </c>
      <c r="I119" s="6">
        <v>78.400000000000006</v>
      </c>
      <c r="J119" s="7">
        <v>0.25030000000000002</v>
      </c>
      <c r="K119" s="8">
        <f t="shared" si="4"/>
        <v>98.023520000000005</v>
      </c>
      <c r="L119" s="8">
        <f t="shared" si="6"/>
        <v>294.07056</v>
      </c>
      <c r="M119" s="3"/>
      <c r="N119" s="9">
        <v>1</v>
      </c>
      <c r="O119" s="3" t="s">
        <v>26</v>
      </c>
      <c r="P119" s="10">
        <v>3</v>
      </c>
      <c r="Q119" s="8">
        <f t="shared" si="5"/>
        <v>294.07056</v>
      </c>
    </row>
    <row r="120" spans="1:17" ht="39.950000000000003" customHeight="1">
      <c r="A120" s="3" t="s">
        <v>17</v>
      </c>
      <c r="B120" s="4" t="s">
        <v>313</v>
      </c>
      <c r="C120" s="3"/>
      <c r="D120" s="3"/>
      <c r="E120" s="21" t="s">
        <v>314</v>
      </c>
      <c r="F120" s="5"/>
      <c r="G120" s="3"/>
      <c r="H120" s="6"/>
      <c r="I120" s="6"/>
      <c r="J120" s="7"/>
      <c r="K120" s="8"/>
      <c r="L120" s="8">
        <f>SUM(L121:L124)</f>
        <v>41242.995944000002</v>
      </c>
      <c r="M120" s="3"/>
      <c r="N120" s="9"/>
      <c r="O120" s="3"/>
      <c r="P120" s="10"/>
      <c r="Q120" s="8"/>
    </row>
    <row r="121" spans="1:17" ht="80.099999999999994" customHeight="1">
      <c r="A121" s="3" t="s">
        <v>20</v>
      </c>
      <c r="B121" s="4" t="s">
        <v>315</v>
      </c>
      <c r="C121" s="3" t="s">
        <v>22</v>
      </c>
      <c r="D121" s="3" t="s">
        <v>316</v>
      </c>
      <c r="E121" s="21" t="s">
        <v>317</v>
      </c>
      <c r="F121" s="5">
        <f>48</f>
        <v>48</v>
      </c>
      <c r="G121" s="3" t="s">
        <v>170</v>
      </c>
      <c r="H121" s="6">
        <v>53.07</v>
      </c>
      <c r="I121" s="6">
        <v>53.07</v>
      </c>
      <c r="J121" s="7">
        <v>0.25030000000000002</v>
      </c>
      <c r="K121" s="8">
        <f t="shared" si="4"/>
        <v>66.353420999999997</v>
      </c>
      <c r="L121" s="8">
        <f t="shared" si="6"/>
        <v>3184.9642079999999</v>
      </c>
      <c r="M121" s="3"/>
      <c r="N121" s="9">
        <v>1</v>
      </c>
      <c r="O121" s="3" t="s">
        <v>26</v>
      </c>
      <c r="P121" s="10">
        <v>48</v>
      </c>
      <c r="Q121" s="8">
        <f t="shared" si="5"/>
        <v>3184.9642079999999</v>
      </c>
    </row>
    <row r="122" spans="1:17" ht="80.099999999999994" customHeight="1">
      <c r="A122" s="3" t="s">
        <v>20</v>
      </c>
      <c r="B122" s="4" t="s">
        <v>318</v>
      </c>
      <c r="C122" s="3" t="s">
        <v>22</v>
      </c>
      <c r="D122" s="3" t="s">
        <v>319</v>
      </c>
      <c r="E122" s="21" t="s">
        <v>320</v>
      </c>
      <c r="F122" s="5">
        <f>8</f>
        <v>8</v>
      </c>
      <c r="G122" s="3" t="s">
        <v>197</v>
      </c>
      <c r="H122" s="6">
        <v>83.14</v>
      </c>
      <c r="I122" s="6">
        <v>83.14</v>
      </c>
      <c r="J122" s="7">
        <v>0.25030000000000002</v>
      </c>
      <c r="K122" s="8">
        <f t="shared" si="4"/>
        <v>103.94994200000001</v>
      </c>
      <c r="L122" s="8">
        <f t="shared" si="6"/>
        <v>831.59953600000006</v>
      </c>
      <c r="M122" s="3"/>
      <c r="N122" s="9">
        <v>1</v>
      </c>
      <c r="O122" s="3" t="s">
        <v>26</v>
      </c>
      <c r="P122" s="10">
        <v>8</v>
      </c>
      <c r="Q122" s="8">
        <f t="shared" si="5"/>
        <v>831.59953600000006</v>
      </c>
    </row>
    <row r="123" spans="1:17" ht="80.099999999999994" customHeight="1">
      <c r="A123" s="3" t="s">
        <v>20</v>
      </c>
      <c r="B123" s="4" t="s">
        <v>321</v>
      </c>
      <c r="C123" s="3" t="s">
        <v>43</v>
      </c>
      <c r="D123" s="3" t="s">
        <v>322</v>
      </c>
      <c r="E123" s="21" t="s">
        <v>323</v>
      </c>
      <c r="F123" s="5">
        <f>2</f>
        <v>2</v>
      </c>
      <c r="G123" s="17" t="s">
        <v>340</v>
      </c>
      <c r="H123" s="6">
        <v>845.2</v>
      </c>
      <c r="I123" s="6">
        <v>845.2</v>
      </c>
      <c r="J123" s="7">
        <v>0.25030000000000002</v>
      </c>
      <c r="K123" s="8">
        <f t="shared" si="4"/>
        <v>1056.7535600000001</v>
      </c>
      <c r="L123" s="8">
        <f>PRODUCT(K123,F123)</f>
        <v>2113.5071200000002</v>
      </c>
      <c r="M123" s="3"/>
      <c r="N123" s="9">
        <v>1</v>
      </c>
      <c r="O123" s="3" t="s">
        <v>26</v>
      </c>
      <c r="P123" s="10">
        <v>2</v>
      </c>
      <c r="Q123" s="8">
        <f t="shared" si="5"/>
        <v>2113.5071200000002</v>
      </c>
    </row>
    <row r="124" spans="1:17" ht="80.099999999999994" customHeight="1">
      <c r="A124" s="3" t="s">
        <v>20</v>
      </c>
      <c r="B124" s="4" t="s">
        <v>324</v>
      </c>
      <c r="C124" s="3" t="s">
        <v>43</v>
      </c>
      <c r="D124" s="3" t="s">
        <v>325</v>
      </c>
      <c r="E124" s="21" t="s">
        <v>326</v>
      </c>
      <c r="F124" s="5">
        <f>360</f>
        <v>360</v>
      </c>
      <c r="G124" s="3" t="s">
        <v>170</v>
      </c>
      <c r="H124" s="6">
        <v>78.010000000000005</v>
      </c>
      <c r="I124" s="6">
        <v>78.010000000000005</v>
      </c>
      <c r="J124" s="7">
        <v>0.25030000000000002</v>
      </c>
      <c r="K124" s="8">
        <f t="shared" si="4"/>
        <v>97.535903000000005</v>
      </c>
      <c r="L124" s="8">
        <f>PRODUCT(K124,F124)</f>
        <v>35112.925080000001</v>
      </c>
      <c r="M124" s="3"/>
      <c r="N124" s="9">
        <v>1</v>
      </c>
      <c r="O124" s="3" t="s">
        <v>26</v>
      </c>
      <c r="P124" s="10">
        <v>360</v>
      </c>
      <c r="Q124" s="8">
        <f t="shared" si="5"/>
        <v>35112.925080000001</v>
      </c>
    </row>
    <row r="125" spans="1:17" ht="39.950000000000003" customHeight="1">
      <c r="A125" s="3" t="s">
        <v>17</v>
      </c>
      <c r="B125" s="4" t="s">
        <v>327</v>
      </c>
      <c r="C125" s="3"/>
      <c r="D125" s="3"/>
      <c r="E125" s="21" t="s">
        <v>328</v>
      </c>
      <c r="F125" s="5"/>
      <c r="G125" s="3"/>
      <c r="H125" s="6"/>
      <c r="I125" s="6"/>
      <c r="J125" s="7"/>
      <c r="K125" s="8"/>
      <c r="L125" s="8">
        <f>SUM(L126:L127)</f>
        <v>16333.29405</v>
      </c>
      <c r="M125" s="3"/>
      <c r="N125" s="9"/>
      <c r="O125" s="3"/>
      <c r="P125" s="10"/>
      <c r="Q125" s="8"/>
    </row>
    <row r="126" spans="1:17" ht="80.099999999999994" customHeight="1">
      <c r="A126" s="3" t="s">
        <v>20</v>
      </c>
      <c r="B126" s="4" t="s">
        <v>329</v>
      </c>
      <c r="C126" s="3" t="s">
        <v>22</v>
      </c>
      <c r="D126" s="3" t="s">
        <v>330</v>
      </c>
      <c r="E126" s="21" t="s">
        <v>331</v>
      </c>
      <c r="F126" s="5">
        <f>450</f>
        <v>450</v>
      </c>
      <c r="G126" s="3" t="s">
        <v>25</v>
      </c>
      <c r="H126" s="6">
        <v>9.5299999999999994</v>
      </c>
      <c r="I126" s="6">
        <v>9.5299999999999994</v>
      </c>
      <c r="J126" s="7">
        <v>0.25030000000000002</v>
      </c>
      <c r="K126" s="8">
        <f t="shared" si="4"/>
        <v>11.915358999999999</v>
      </c>
      <c r="L126" s="8">
        <f t="shared" si="6"/>
        <v>5361.9115499999998</v>
      </c>
      <c r="M126" s="3"/>
      <c r="N126" s="9">
        <v>1</v>
      </c>
      <c r="O126" s="3" t="s">
        <v>26</v>
      </c>
      <c r="P126" s="10">
        <v>450</v>
      </c>
      <c r="Q126" s="8">
        <f t="shared" si="5"/>
        <v>5361.9115499999998</v>
      </c>
    </row>
    <row r="127" spans="1:17" ht="80.099999999999994" customHeight="1">
      <c r="A127" s="3" t="s">
        <v>20</v>
      </c>
      <c r="B127" s="4" t="s">
        <v>332</v>
      </c>
      <c r="C127" s="3" t="s">
        <v>22</v>
      </c>
      <c r="D127" s="3" t="s">
        <v>333</v>
      </c>
      <c r="E127" s="21" t="s">
        <v>334</v>
      </c>
      <c r="F127" s="5">
        <f>4500</f>
        <v>4500</v>
      </c>
      <c r="G127" s="3" t="s">
        <v>335</v>
      </c>
      <c r="H127" s="6">
        <v>1.95</v>
      </c>
      <c r="I127" s="6">
        <v>1.95</v>
      </c>
      <c r="J127" s="7">
        <v>0.25030000000000002</v>
      </c>
      <c r="K127" s="8">
        <f t="shared" si="4"/>
        <v>2.4380850000000001</v>
      </c>
      <c r="L127" s="8">
        <f t="shared" si="6"/>
        <v>10971.3825</v>
      </c>
      <c r="M127" s="3"/>
      <c r="N127" s="9">
        <v>1</v>
      </c>
      <c r="O127" s="3" t="s">
        <v>26</v>
      </c>
      <c r="P127" s="10">
        <v>4500</v>
      </c>
      <c r="Q127" s="8">
        <f t="shared" si="5"/>
        <v>10971.3825</v>
      </c>
    </row>
    <row r="128" spans="1:17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12" t="s">
        <v>336</v>
      </c>
      <c r="Q128" s="13">
        <f>SUM(L125,L120,L111,L83,L74,L68,L65,L61,L54,L49,L44,L42,L37,L32,L30,L27,L24,L21,L15,L7,L2)</f>
        <v>1489498.5564011601</v>
      </c>
    </row>
    <row r="129" spans="1:17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>
      <c r="A130"/>
      <c r="B130"/>
      <c r="C130"/>
      <c r="D130"/>
      <c r="E130"/>
      <c r="F130"/>
      <c r="G130"/>
      <c r="H130"/>
      <c r="I130"/>
      <c r="J130"/>
      <c r="K130"/>
    </row>
    <row r="131" spans="1:17">
      <c r="A131"/>
      <c r="B131"/>
      <c r="C131"/>
      <c r="D131"/>
      <c r="E131"/>
      <c r="F131"/>
      <c r="G131"/>
      <c r="H131"/>
      <c r="I131"/>
      <c r="J131"/>
      <c r="K131"/>
    </row>
    <row r="132" spans="1:17">
      <c r="A132"/>
      <c r="B132"/>
      <c r="C132"/>
      <c r="D132"/>
      <c r="E132"/>
      <c r="F132"/>
      <c r="G132"/>
      <c r="H132"/>
      <c r="I132"/>
      <c r="J132"/>
      <c r="K132"/>
    </row>
    <row r="133" spans="1:17">
      <c r="A133"/>
      <c r="B133"/>
      <c r="C133"/>
      <c r="D133"/>
      <c r="E133"/>
      <c r="F133"/>
      <c r="G133"/>
      <c r="H133"/>
      <c r="I133"/>
      <c r="J133"/>
      <c r="K133"/>
    </row>
    <row r="134" spans="1:17">
      <c r="A134"/>
      <c r="B134"/>
      <c r="C134"/>
      <c r="D134"/>
      <c r="E134"/>
      <c r="F134"/>
      <c r="G134"/>
      <c r="H134"/>
      <c r="I134"/>
      <c r="J134"/>
      <c r="K134"/>
    </row>
    <row r="135" spans="1:17">
      <c r="A135"/>
      <c r="B135"/>
      <c r="C135"/>
      <c r="D135"/>
      <c r="E135"/>
      <c r="F135"/>
      <c r="G135"/>
      <c r="H135"/>
      <c r="I135"/>
      <c r="J135"/>
      <c r="K135"/>
    </row>
  </sheetData>
  <mergeCells count="2">
    <mergeCell ref="A129:Q129"/>
    <mergeCell ref="A128:O128"/>
  </mergeCells>
  <conditionalFormatting sqref="A2:Q2">
    <cfRule type="expression" dxfId="45" priority="53">
      <formula>$A2="Macrosserviço"</formula>
    </cfRule>
  </conditionalFormatting>
  <conditionalFormatting sqref="E2:E127">
    <cfRule type="expression" dxfId="44" priority="55">
      <formula>OR(E2="",IF($A2="Macrosserviço",LEN($E2)&gt;100,LEN($E2)&gt;500))</formula>
    </cfRule>
  </conditionalFormatting>
  <conditionalFormatting sqref="M2:M127">
    <cfRule type="expression" dxfId="43" priority="54">
      <formula>IF($A2="Serviço",LEN(M2)&gt;500,M2&lt;&gt;"")</formula>
    </cfRule>
  </conditionalFormatting>
  <conditionalFormatting sqref="A2:A127">
    <cfRule type="expression" dxfId="42" priority="52">
      <formula>AND(A2&lt;&gt;"Macrosserviço",A2&lt;&gt;"Serviço")</formula>
    </cfRule>
  </conditionalFormatting>
  <conditionalFormatting sqref="C2:C127">
    <cfRule type="expression" dxfId="41" priority="51">
      <formula>IF($A2="Serviço",AND(C2&lt;&gt;"Composição",C2&lt;&gt;"Cotação",C2&lt;&gt;"SINAPI",C2&lt;&gt;"Outros"),C2&lt;&gt;"")</formula>
    </cfRule>
  </conditionalFormatting>
  <conditionalFormatting sqref="D2:D127">
    <cfRule type="expression" dxfId="40" priority="50">
      <formula>IF($A2="Serviço",OR(D2="",LEN($D2)&gt;13),D2&lt;&gt;"")</formula>
    </cfRule>
  </conditionalFormatting>
  <conditionalFormatting sqref="H2:H127">
    <cfRule type="expression" dxfId="39" priority="49">
      <formula>IF(A2="Serviço",OR(NOT(ISNUMBER(H2)),H2&lt;&gt;ROUND(H2,2),AND(C2&lt;&gt;"SINAPI",H2=0),H2&lt;0,H2&gt;9999999999.99),H2&lt;&gt;"")</formula>
    </cfRule>
  </conditionalFormatting>
  <conditionalFormatting sqref="I2:I127">
    <cfRule type="expression" dxfId="38" priority="48">
      <formula>IF($A2="Serviço",OR(NOT(ISNUMBER(I2)),I2&lt;&gt;ROUND(I2,2),I2&lt;=0,I2&gt;9999999999.99,AND(I2&gt;H2,H2&gt;0)),I2&lt;&gt;"")</formula>
    </cfRule>
  </conditionalFormatting>
  <conditionalFormatting sqref="J2:J127">
    <cfRule type="expression" dxfId="37" priority="47">
      <formula>IF($A2="Serviço",OR(NOT(ISNUMBER(VALUE(J2))),VALUE(J2)&lt;&gt;ROUND(VALUE(J2),4),VALUE(J2)&lt;=0,VALUE(J2)&gt;100%),J2&lt;&gt;"")</formula>
    </cfRule>
  </conditionalFormatting>
  <conditionalFormatting sqref="B2:B127">
    <cfRule type="cellIs" dxfId="36" priority="46" operator="equal">
      <formula>""</formula>
    </cfRule>
  </conditionalFormatting>
  <conditionalFormatting sqref="N2:N127">
    <cfRule type="expression" dxfId="35" priority="45">
      <formula>IF($A2="Macrosserviço",N2&lt;&gt;"",OR(NOT(ISNUMBER(N2)),N2&lt;&gt;ROUND(N2,0),N2&lt;1,N2&gt;999))</formula>
    </cfRule>
  </conditionalFormatting>
  <conditionalFormatting sqref="O2:O127">
    <cfRule type="expression" dxfId="34" priority="44">
      <formula>IF($A2="Macrosserviço",O2&lt;&gt;"",OR(O2="",LEN(O2)&gt;100))</formula>
    </cfRule>
  </conditionalFormatting>
  <conditionalFormatting sqref="P2:P127">
    <cfRule type="expression" dxfId="33" priority="43">
      <formula>IF($A2="Macrosserviço",P2&lt;&gt;"",OR(NOT(ISNUMBER(P2)),P2&lt;&gt;ROUND(P2,2),P2&lt;=0,P2&gt;99999999.99))</formula>
    </cfRule>
  </conditionalFormatting>
  <conditionalFormatting sqref="A9:F12 H9:J12 A55:F60 H55:J60 A31:F31 H31:J31 A20:F20 H20:J20 A75:F79 H75:J79 A84:F110 H84:J110 A123:F123 H123:J123 M7:P7 A13:J19 M15:P15 M21:P21 M24:P24 M27:P27 A21:J30 M30:P30 M32:P32 M37:P37 M42:P42 M44:P44 M49:P49 A32:J54 M54:P54 M61:P61 M65:P65 M68:P68 A61:J74 M74:P74 A80:J83 M83:P83 M111:P111 A111:J122 M120:P120 A124:J127 M125:P125 A3:Q3 L8:P14 L16:P20 L22:P23 L25:P26 L28:P29 L31:P31 L33:P36 L38:P41 L43:P43 L45:P48 L50:P53 L55:P60 L62:P64 L66:P67 L69:P73 L75:P82 L84:P110 L112:P119 L121:P124 L126:P127 A4:J8 L4:P6 K4:K127 Q4:Q127">
    <cfRule type="expression" dxfId="32" priority="42">
      <formula>$A3="Macrosserviço"</formula>
    </cfRule>
  </conditionalFormatting>
  <conditionalFormatting sqref="H9">
    <cfRule type="expression" dxfId="31" priority="41">
      <formula>IF($A9="Serviço",OR(NOT(ISNUMBER(H9)),H9&lt;&gt;ROUND(H9,2),H9&lt;=0,H9&gt;9999999999.99,AND(H9&gt;G9,G9&gt;0)),H9&lt;&gt;"")</formula>
    </cfRule>
  </conditionalFormatting>
  <conditionalFormatting sqref="H14">
    <cfRule type="expression" dxfId="30" priority="40">
      <formula>IF($A14="Serviço",OR(NOT(ISNUMBER(H14)),H14&lt;&gt;ROUND(H14,2),H14&lt;=0,H14&gt;9999999999.99,AND(H14&gt;G14,G14&gt;0)),H14&lt;&gt;"")</formula>
    </cfRule>
  </conditionalFormatting>
  <conditionalFormatting sqref="H20">
    <cfRule type="expression" dxfId="29" priority="39">
      <formula>IF($A20="Serviço",OR(NOT(ISNUMBER(H20)),H20&lt;&gt;ROUND(H20,2),H20&lt;=0,H20&gt;9999999999.99,AND(H20&gt;G20,G20&gt;0)),H20&lt;&gt;"")</formula>
    </cfRule>
  </conditionalFormatting>
  <conditionalFormatting sqref="H84:H104">
    <cfRule type="expression" dxfId="28" priority="38">
      <formula>IF($A84="Serviço",OR(NOT(ISNUMBER(H84)),H84&lt;&gt;ROUND(H84,2),H84&lt;=0,H84&gt;9999999999.99,AND(H84&gt;G84,G84&gt;0)),H84&lt;&gt;"")</formula>
    </cfRule>
  </conditionalFormatting>
  <conditionalFormatting sqref="H106:H107">
    <cfRule type="expression" dxfId="27" priority="37">
      <formula>IF($A106="Serviço",OR(NOT(ISNUMBER(H106)),H106&lt;&gt;ROUND(H106,2),H106&lt;=0,H106&gt;9999999999.99,AND(H106&gt;G106,G106&gt;0)),H106&lt;&gt;"")</formula>
    </cfRule>
  </conditionalFormatting>
  <conditionalFormatting sqref="H109:H110">
    <cfRule type="expression" dxfId="26" priority="36">
      <formula>IF($A109="Serviço",OR(NOT(ISNUMBER(H109)),H109&lt;&gt;ROUND(H109,2),H109&lt;=0,H109&gt;9999999999.99,AND(H109&gt;G109,G109&gt;0)),H109&lt;&gt;"")</formula>
    </cfRule>
  </conditionalFormatting>
  <conditionalFormatting sqref="H123:H124">
    <cfRule type="expression" dxfId="25" priority="35">
      <formula>IF($A123="Serviço",OR(NOT(ISNUMBER(H123)),H123&lt;&gt;ROUND(H123,2),H123&lt;=0,H123&gt;9999999999.99,AND(H123&gt;G123,G123&gt;0)),H123&lt;&gt;"")</formula>
    </cfRule>
  </conditionalFormatting>
  <conditionalFormatting sqref="H71">
    <cfRule type="expression" dxfId="24" priority="34">
      <formula>IF($A71="Serviço",OR(NOT(ISNUMBER(H71)),H71&lt;&gt;ROUND(H71,2),H71&lt;=0,H71&gt;9999999999.99,AND(H71&gt;G71,G71&gt;0)),H71&lt;&gt;"")</formula>
    </cfRule>
  </conditionalFormatting>
  <conditionalFormatting sqref="L7">
    <cfRule type="expression" dxfId="23" priority="20">
      <formula>$A7="Macrosserviço"</formula>
    </cfRule>
  </conditionalFormatting>
  <conditionalFormatting sqref="L15">
    <cfRule type="expression" dxfId="22" priority="19">
      <formula>$A15="Macrosserviço"</formula>
    </cfRule>
  </conditionalFormatting>
  <conditionalFormatting sqref="L21">
    <cfRule type="expression" dxfId="21" priority="18">
      <formula>$A21="Macrosserviço"</formula>
    </cfRule>
  </conditionalFormatting>
  <conditionalFormatting sqref="L24">
    <cfRule type="expression" dxfId="20" priority="17">
      <formula>$A24="Macrosserviço"</formula>
    </cfRule>
  </conditionalFormatting>
  <conditionalFormatting sqref="L27">
    <cfRule type="expression" dxfId="19" priority="16">
      <formula>$A27="Macrosserviço"</formula>
    </cfRule>
  </conditionalFormatting>
  <conditionalFormatting sqref="L30">
    <cfRule type="expression" dxfId="18" priority="15">
      <formula>$A30="Macrosserviço"</formula>
    </cfRule>
  </conditionalFormatting>
  <conditionalFormatting sqref="L32">
    <cfRule type="expression" dxfId="17" priority="14">
      <formula>$A32="Macrosserviço"</formula>
    </cfRule>
  </conditionalFormatting>
  <conditionalFormatting sqref="L37">
    <cfRule type="expression" dxfId="16" priority="13">
      <formula>$A37="Macrosserviço"</formula>
    </cfRule>
  </conditionalFormatting>
  <conditionalFormatting sqref="L42">
    <cfRule type="expression" dxfId="15" priority="12">
      <formula>$A42="Macrosserviço"</formula>
    </cfRule>
  </conditionalFormatting>
  <conditionalFormatting sqref="L44">
    <cfRule type="expression" dxfId="14" priority="11">
      <formula>$A44="Macrosserviço"</formula>
    </cfRule>
  </conditionalFormatting>
  <conditionalFormatting sqref="L49">
    <cfRule type="expression" dxfId="13" priority="10">
      <formula>$A49="Macrosserviço"</formula>
    </cfRule>
  </conditionalFormatting>
  <conditionalFormatting sqref="L54">
    <cfRule type="expression" dxfId="12" priority="9">
      <formula>$A54="Macrosserviço"</formula>
    </cfRule>
  </conditionalFormatting>
  <conditionalFormatting sqref="L61">
    <cfRule type="expression" dxfId="11" priority="8">
      <formula>$A61="Macrosserviço"</formula>
    </cfRule>
  </conditionalFormatting>
  <conditionalFormatting sqref="L65">
    <cfRule type="expression" dxfId="10" priority="7">
      <formula>$A65="Macrosserviço"</formula>
    </cfRule>
  </conditionalFormatting>
  <conditionalFormatting sqref="L68">
    <cfRule type="expression" dxfId="9" priority="6">
      <formula>$A68="Macrosserviço"</formula>
    </cfRule>
  </conditionalFormatting>
  <conditionalFormatting sqref="L74">
    <cfRule type="expression" dxfId="8" priority="5">
      <formula>$A74="Macrosserviço"</formula>
    </cfRule>
  </conditionalFormatting>
  <conditionalFormatting sqref="L83">
    <cfRule type="expression" dxfId="7" priority="4">
      <formula>$A83="Macrosserviço"</formula>
    </cfRule>
  </conditionalFormatting>
  <conditionalFormatting sqref="L111">
    <cfRule type="expression" dxfId="6" priority="3">
      <formula>$A111="Macrosserviço"</formula>
    </cfRule>
  </conditionalFormatting>
  <conditionalFormatting sqref="L120">
    <cfRule type="expression" dxfId="5" priority="2">
      <formula>$A120="Macrosserviço"</formula>
    </cfRule>
  </conditionalFormatting>
  <conditionalFormatting sqref="L125">
    <cfRule type="expression" dxfId="4" priority="1">
      <formula>$A125="Macrosserviço"</formula>
    </cfRule>
  </conditionalFormatting>
  <pageMargins left="0.78740157480314965" right="0.78740157480314965" top="0.78740157480314965" bottom="0.78740157480314965" header="5.7086614173228352" footer="0.59055118110236227"/>
  <pageSetup paperSize="9" scale="50" fitToHeight="10" orientation="landscape" r:id="rId1"/>
  <headerFooter>
    <oddHeader>&amp;L_</oddHeader>
    <oddFooter>&amp;LPMv3.16&amp;R&amp;P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21D7-28D2-401D-AC01-1DBA16C9764E}">
  <sheetPr codeName="Planilha4"/>
  <dimension ref="A1:D42"/>
  <sheetViews>
    <sheetView workbookViewId="0">
      <selection activeCell="A32" sqref="A32:A33"/>
    </sheetView>
  </sheetViews>
  <sheetFormatPr defaultColWidth="9.125" defaultRowHeight="14.25"/>
  <cols>
    <col min="1" max="1" width="15" style="2" customWidth="1"/>
    <col min="2" max="2" width="70" style="2" customWidth="1"/>
    <col min="3" max="3" width="10" style="2" customWidth="1"/>
    <col min="4" max="4" width="20" style="2" customWidth="1"/>
    <col min="5" max="16384" width="9.125" style="2"/>
  </cols>
  <sheetData>
    <row r="1" spans="1:4">
      <c r="A1" s="1" t="s">
        <v>337</v>
      </c>
      <c r="B1" s="1" t="s">
        <v>17</v>
      </c>
      <c r="C1" s="1" t="s">
        <v>338</v>
      </c>
      <c r="D1" s="1" t="s">
        <v>339</v>
      </c>
    </row>
    <row r="2" spans="1:4" ht="45" customHeight="1">
      <c r="A2" s="14">
        <v>1</v>
      </c>
      <c r="B2" s="14" t="s">
        <v>19</v>
      </c>
      <c r="C2" s="14">
        <v>1</v>
      </c>
      <c r="D2" s="15">
        <v>100</v>
      </c>
    </row>
    <row r="3" spans="1:4" ht="45" customHeight="1">
      <c r="A3" s="24">
        <v>2</v>
      </c>
      <c r="B3" s="24" t="s">
        <v>38</v>
      </c>
      <c r="C3" s="14">
        <v>1</v>
      </c>
      <c r="D3" s="15">
        <v>20</v>
      </c>
    </row>
    <row r="4" spans="1:4" ht="45" customHeight="1">
      <c r="A4" s="25"/>
      <c r="B4" s="25"/>
      <c r="C4" s="14">
        <v>2</v>
      </c>
      <c r="D4" s="15">
        <v>30</v>
      </c>
    </row>
    <row r="5" spans="1:4" ht="45" customHeight="1">
      <c r="A5" s="25"/>
      <c r="B5" s="25"/>
      <c r="C5" s="14">
        <v>3</v>
      </c>
      <c r="D5" s="15">
        <v>30</v>
      </c>
    </row>
    <row r="6" spans="1:4" ht="45" customHeight="1">
      <c r="A6" s="26"/>
      <c r="B6" s="26"/>
      <c r="C6" s="14">
        <v>4</v>
      </c>
      <c r="D6" s="15">
        <v>20</v>
      </c>
    </row>
    <row r="7" spans="1:4" ht="45" customHeight="1">
      <c r="A7" s="24">
        <v>3</v>
      </c>
      <c r="B7" s="24" t="s">
        <v>61</v>
      </c>
      <c r="C7" s="14">
        <v>1</v>
      </c>
      <c r="D7" s="15">
        <v>60</v>
      </c>
    </row>
    <row r="8" spans="1:4" ht="45" customHeight="1">
      <c r="A8" s="26"/>
      <c r="B8" s="26"/>
      <c r="C8" s="14">
        <v>2</v>
      </c>
      <c r="D8" s="15">
        <v>40</v>
      </c>
    </row>
    <row r="9" spans="1:4" ht="45" customHeight="1">
      <c r="A9" s="24">
        <v>4</v>
      </c>
      <c r="B9" s="24" t="s">
        <v>79</v>
      </c>
      <c r="C9" s="14">
        <v>2</v>
      </c>
      <c r="D9" s="15">
        <v>30</v>
      </c>
    </row>
    <row r="10" spans="1:4" ht="45" customHeight="1">
      <c r="A10" s="25"/>
      <c r="B10" s="25"/>
      <c r="C10" s="14">
        <v>3</v>
      </c>
      <c r="D10" s="15">
        <v>40</v>
      </c>
    </row>
    <row r="11" spans="1:4" ht="45" customHeight="1">
      <c r="A11" s="26"/>
      <c r="B11" s="26"/>
      <c r="C11" s="14">
        <v>4</v>
      </c>
      <c r="D11" s="15">
        <v>30</v>
      </c>
    </row>
    <row r="12" spans="1:4" ht="45" customHeight="1">
      <c r="A12" s="24">
        <v>5</v>
      </c>
      <c r="B12" s="24" t="s">
        <v>87</v>
      </c>
      <c r="C12" s="14">
        <v>2</v>
      </c>
      <c r="D12" s="15">
        <v>20</v>
      </c>
    </row>
    <row r="13" spans="1:4" ht="45" customHeight="1">
      <c r="A13" s="25"/>
      <c r="B13" s="25"/>
      <c r="C13" s="14">
        <v>3</v>
      </c>
      <c r="D13" s="15">
        <v>50</v>
      </c>
    </row>
    <row r="14" spans="1:4" ht="45" customHeight="1">
      <c r="A14" s="26"/>
      <c r="B14" s="26"/>
      <c r="C14" s="14">
        <v>4</v>
      </c>
      <c r="D14" s="15">
        <v>30</v>
      </c>
    </row>
    <row r="15" spans="1:4" ht="45" customHeight="1">
      <c r="A15" s="14">
        <v>6</v>
      </c>
      <c r="B15" s="14" t="s">
        <v>95</v>
      </c>
      <c r="C15" s="14">
        <v>4</v>
      </c>
      <c r="D15" s="15">
        <v>100</v>
      </c>
    </row>
    <row r="16" spans="1:4" ht="45" customHeight="1">
      <c r="A16" s="14">
        <v>7</v>
      </c>
      <c r="B16" s="14" t="s">
        <v>103</v>
      </c>
      <c r="C16" s="14">
        <v>4</v>
      </c>
      <c r="D16" s="15">
        <v>100</v>
      </c>
    </row>
    <row r="17" spans="1:4" ht="45" customHeight="1">
      <c r="A17" s="14">
        <v>8</v>
      </c>
      <c r="B17" s="14" t="s">
        <v>19</v>
      </c>
      <c r="C17" s="14">
        <v>2</v>
      </c>
      <c r="D17" s="15">
        <v>100</v>
      </c>
    </row>
    <row r="18" spans="1:4" ht="45" customHeight="1">
      <c r="A18" s="14">
        <v>9</v>
      </c>
      <c r="B18" s="14" t="s">
        <v>38</v>
      </c>
      <c r="C18" s="14">
        <v>3</v>
      </c>
      <c r="D18" s="15">
        <v>100</v>
      </c>
    </row>
    <row r="19" spans="1:4" ht="45" customHeight="1">
      <c r="A19" s="14">
        <v>10</v>
      </c>
      <c r="B19" s="14" t="s">
        <v>103</v>
      </c>
      <c r="C19" s="14">
        <v>4</v>
      </c>
      <c r="D19" s="15">
        <v>100</v>
      </c>
    </row>
    <row r="20" spans="1:4" ht="45" customHeight="1">
      <c r="A20" s="14">
        <v>11</v>
      </c>
      <c r="B20" s="14" t="s">
        <v>19</v>
      </c>
      <c r="C20" s="14">
        <v>2</v>
      </c>
      <c r="D20" s="15">
        <v>100</v>
      </c>
    </row>
    <row r="21" spans="1:4" ht="45" customHeight="1">
      <c r="A21" s="24">
        <v>12</v>
      </c>
      <c r="B21" s="24" t="s">
        <v>38</v>
      </c>
      <c r="C21" s="14">
        <v>3</v>
      </c>
      <c r="D21" s="15">
        <v>30</v>
      </c>
    </row>
    <row r="22" spans="1:4" ht="45" customHeight="1">
      <c r="A22" s="26"/>
      <c r="B22" s="26"/>
      <c r="C22" s="14">
        <v>4</v>
      </c>
      <c r="D22" s="15">
        <v>70</v>
      </c>
    </row>
    <row r="23" spans="1:4" ht="45" customHeight="1">
      <c r="A23" s="14">
        <v>13</v>
      </c>
      <c r="B23" s="14" t="s">
        <v>103</v>
      </c>
      <c r="C23" s="14">
        <v>4</v>
      </c>
      <c r="D23" s="15">
        <v>100</v>
      </c>
    </row>
    <row r="24" spans="1:4" ht="45" customHeight="1">
      <c r="A24" s="24">
        <v>14</v>
      </c>
      <c r="B24" s="24" t="s">
        <v>38</v>
      </c>
      <c r="C24" s="14">
        <v>1</v>
      </c>
      <c r="D24" s="15">
        <v>30</v>
      </c>
    </row>
    <row r="25" spans="1:4" ht="45" customHeight="1">
      <c r="A25" s="25"/>
      <c r="B25" s="25"/>
      <c r="C25" s="14">
        <v>2</v>
      </c>
      <c r="D25" s="15">
        <v>20</v>
      </c>
    </row>
    <row r="26" spans="1:4" ht="45" customHeight="1">
      <c r="A26" s="26"/>
      <c r="B26" s="26"/>
      <c r="C26" s="14">
        <v>3</v>
      </c>
      <c r="D26" s="15">
        <v>50</v>
      </c>
    </row>
    <row r="27" spans="1:4" ht="45" customHeight="1">
      <c r="A27" s="24">
        <v>15</v>
      </c>
      <c r="B27" s="24" t="s">
        <v>95</v>
      </c>
      <c r="C27" s="14">
        <v>3</v>
      </c>
      <c r="D27" s="15">
        <v>20</v>
      </c>
    </row>
    <row r="28" spans="1:4" ht="45" customHeight="1">
      <c r="A28" s="26"/>
      <c r="B28" s="26"/>
      <c r="C28" s="14">
        <v>4</v>
      </c>
      <c r="D28" s="15">
        <v>80</v>
      </c>
    </row>
    <row r="29" spans="1:4" ht="45" customHeight="1">
      <c r="A29" s="24">
        <v>16</v>
      </c>
      <c r="B29" s="24" t="s">
        <v>38</v>
      </c>
      <c r="C29" s="14">
        <v>1</v>
      </c>
      <c r="D29" s="15">
        <v>30</v>
      </c>
    </row>
    <row r="30" spans="1:4" ht="45" customHeight="1">
      <c r="A30" s="25"/>
      <c r="B30" s="25"/>
      <c r="C30" s="14">
        <v>2</v>
      </c>
      <c r="D30" s="15">
        <v>20</v>
      </c>
    </row>
    <row r="31" spans="1:4" ht="45" customHeight="1">
      <c r="A31" s="26"/>
      <c r="B31" s="26"/>
      <c r="C31" s="14">
        <v>3</v>
      </c>
      <c r="D31" s="15">
        <v>50</v>
      </c>
    </row>
    <row r="32" spans="1:4" ht="45" customHeight="1">
      <c r="A32" s="24">
        <v>17</v>
      </c>
      <c r="B32" s="24" t="s">
        <v>182</v>
      </c>
      <c r="C32" s="14">
        <v>3</v>
      </c>
      <c r="D32" s="15">
        <v>50</v>
      </c>
    </row>
    <row r="33" spans="1:4" ht="45" customHeight="1">
      <c r="A33" s="26"/>
      <c r="B33" s="26"/>
      <c r="C33" s="14">
        <v>4</v>
      </c>
      <c r="D33" s="15">
        <v>50</v>
      </c>
    </row>
    <row r="34" spans="1:4" ht="45" customHeight="1">
      <c r="A34" s="24">
        <v>18</v>
      </c>
      <c r="B34" s="24" t="s">
        <v>205</v>
      </c>
      <c r="C34" s="14">
        <v>1</v>
      </c>
      <c r="D34" s="15">
        <v>20</v>
      </c>
    </row>
    <row r="35" spans="1:4" ht="45" customHeight="1">
      <c r="A35" s="25"/>
      <c r="B35" s="25"/>
      <c r="C35" s="14">
        <v>2</v>
      </c>
      <c r="D35" s="15">
        <v>30</v>
      </c>
    </row>
    <row r="36" spans="1:4" ht="45" customHeight="1">
      <c r="A36" s="25"/>
      <c r="B36" s="25"/>
      <c r="C36" s="14">
        <v>3</v>
      </c>
      <c r="D36" s="15">
        <v>30</v>
      </c>
    </row>
    <row r="37" spans="1:4" ht="45" customHeight="1">
      <c r="A37" s="26"/>
      <c r="B37" s="26"/>
      <c r="C37" s="14">
        <v>4</v>
      </c>
      <c r="D37" s="15">
        <v>20</v>
      </c>
    </row>
    <row r="38" spans="1:4" ht="45" customHeight="1">
      <c r="A38" s="24">
        <v>19</v>
      </c>
      <c r="B38" s="24" t="s">
        <v>288</v>
      </c>
      <c r="C38" s="14">
        <v>1</v>
      </c>
      <c r="D38" s="15">
        <v>40</v>
      </c>
    </row>
    <row r="39" spans="1:4" ht="45" customHeight="1">
      <c r="A39" s="26"/>
      <c r="B39" s="26"/>
      <c r="C39" s="14">
        <v>2</v>
      </c>
      <c r="D39" s="15">
        <v>60</v>
      </c>
    </row>
    <row r="40" spans="1:4" ht="45" customHeight="1">
      <c r="A40" s="24">
        <v>20</v>
      </c>
      <c r="B40" s="24" t="s">
        <v>314</v>
      </c>
      <c r="C40" s="14">
        <v>1</v>
      </c>
      <c r="D40" s="15">
        <v>80</v>
      </c>
    </row>
    <row r="41" spans="1:4" ht="45" customHeight="1">
      <c r="A41" s="26"/>
      <c r="B41" s="26"/>
      <c r="C41" s="14">
        <v>2</v>
      </c>
      <c r="D41" s="15">
        <v>20</v>
      </c>
    </row>
    <row r="42" spans="1:4" ht="45" customHeight="1">
      <c r="A42" s="14">
        <v>21</v>
      </c>
      <c r="B42" s="14" t="s">
        <v>328</v>
      </c>
      <c r="C42" s="14">
        <v>4</v>
      </c>
      <c r="D42" s="15">
        <v>100</v>
      </c>
    </row>
  </sheetData>
  <mergeCells count="24">
    <mergeCell ref="A3:A6"/>
    <mergeCell ref="B3:B6"/>
    <mergeCell ref="A7:A8"/>
    <mergeCell ref="B7:B8"/>
    <mergeCell ref="A9:A11"/>
    <mergeCell ref="B9:B11"/>
    <mergeCell ref="A12:A14"/>
    <mergeCell ref="B12:B14"/>
    <mergeCell ref="A21:A22"/>
    <mergeCell ref="B21:B22"/>
    <mergeCell ref="A24:A26"/>
    <mergeCell ref="B24:B26"/>
    <mergeCell ref="A27:A28"/>
    <mergeCell ref="B27:B28"/>
    <mergeCell ref="A29:A31"/>
    <mergeCell ref="B29:B31"/>
    <mergeCell ref="A32:A33"/>
    <mergeCell ref="B32:B33"/>
    <mergeCell ref="A34:A37"/>
    <mergeCell ref="B34:B37"/>
    <mergeCell ref="A38:A39"/>
    <mergeCell ref="B38:B39"/>
    <mergeCell ref="A40:A41"/>
    <mergeCell ref="B40:B41"/>
  </mergeCells>
  <conditionalFormatting sqref="A2:A3 C2:C42 A7 A9 A12 A15:A21 A23:A24 A27 A29 A32 A34 A38 A40 A42">
    <cfRule type="expression" dxfId="3" priority="4">
      <formula>OR(NOT(ISNUMBER(A2)),A2&lt;&gt;ROUND(A2,0),A2&lt;1,A2&gt;999)</formula>
    </cfRule>
  </conditionalFormatting>
  <conditionalFormatting sqref="B2:B3 B7 B9 B12 B15:B21 B23:B24 B27 B29 B32 B34 B38 B40 B42">
    <cfRule type="expression" dxfId="2" priority="3">
      <formula>OR(B2="",LEN(B2)&gt;100)</formula>
    </cfRule>
  </conditionalFormatting>
  <conditionalFormatting sqref="D2:D42">
    <cfRule type="expression" dxfId="1" priority="2">
      <formula>$A2="Macrosserviço"</formula>
    </cfRule>
  </conditionalFormatting>
  <conditionalFormatting sqref="D2:D42">
    <cfRule type="expression" dxfId="0" priority="1">
      <formula>OR(NOT(ISNUMBER(D2)),D2&lt;&gt;ROUND(D2,2),D2&lt;=0,D2&gt;100)</formula>
    </cfRule>
  </conditionalFormatting>
  <pageMargins left="0.78740157480314998" right="0.78740157480314998" top="0.78740157480314998" bottom="0.78740157480314998" header="5.7086614173228396" footer="0.59055118110236204"/>
  <pageSetup paperSize="9" orientation="portrait" r:id="rId1"/>
  <headerFooter>
    <oddHeader>&amp;L_</oddHeader>
    <oddFooter>&amp;LPMv3.16&amp;R&amp;P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BM</vt:lpstr>
      <vt:lpstr>CFF-BM</vt:lpstr>
    </vt:vector>
  </TitlesOfParts>
  <Company>Caixa Economica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Martins de Moraes</dc:creator>
  <cp:lastModifiedBy>Windows</cp:lastModifiedBy>
  <cp:lastPrinted>2026-04-07T12:47:47Z</cp:lastPrinted>
  <dcterms:created xsi:type="dcterms:W3CDTF">2026-02-20T17:27:04Z</dcterms:created>
  <dcterms:modified xsi:type="dcterms:W3CDTF">2026-04-07T12:47:56Z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e7aacd-7cc4-4c31-9e6f-7ef306428f09_Enabled">
    <vt:lpwstr>true</vt:lpwstr>
  </property>
  <property fmtid="{D5CDD505-2E9C-101B-9397-08002B2CF9AE}" pid="3" name="MSIP_Label_fde7aacd-7cc4-4c31-9e6f-7ef306428f09_SetDate">
    <vt:lpwstr>2026-02-20T17:27:04Z</vt:lpwstr>
  </property>
  <property fmtid="{D5CDD505-2E9C-101B-9397-08002B2CF9AE}" pid="4" name="MSIP_Label_fde7aacd-7cc4-4c31-9e6f-7ef306428f09_Method">
    <vt:lpwstr>Privileged</vt:lpwstr>
  </property>
  <property fmtid="{D5CDD505-2E9C-101B-9397-08002B2CF9AE}" pid="5" name="MSIP_Label_fde7aacd-7cc4-4c31-9e6f-7ef306428f09_Name">
    <vt:lpwstr>_PUBLICO</vt:lpwstr>
  </property>
  <property fmtid="{D5CDD505-2E9C-101B-9397-08002B2CF9AE}" pid="6" name="MSIP_Label_fde7aacd-7cc4-4c31-9e6f-7ef306428f09_SiteId">
    <vt:lpwstr>ab9bba98-684a-43fb-add8-9c2bebede229</vt:lpwstr>
  </property>
  <property fmtid="{D5CDD505-2E9C-101B-9397-08002B2CF9AE}" pid="7" name="MSIP_Label_fde7aacd-7cc4-4c31-9e6f-7ef306428f09_ActionId">
    <vt:lpwstr>f30af3b9-136c-4a81-852d-278c574d70f2</vt:lpwstr>
  </property>
  <property fmtid="{D5CDD505-2E9C-101B-9397-08002B2CF9AE}" pid="8" name="MSIP_Label_fde7aacd-7cc4-4c31-9e6f-7ef306428f09_ContentBits">
    <vt:lpwstr>1</vt:lpwstr>
  </property>
</Properties>
</file>